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"/>
    </mc:Choice>
  </mc:AlternateContent>
  <bookViews>
    <workbookView xWindow="0" yWindow="0" windowWidth="25860" windowHeight="16470" activeTab="1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Z358" i="4" l="1"/>
  <c r="W358" i="4"/>
  <c r="V358" i="4"/>
  <c r="U358" i="4"/>
  <c r="T358" i="4"/>
  <c r="AA357" i="4"/>
  <c r="Y357" i="4"/>
  <c r="X357" i="4"/>
  <c r="W357" i="4"/>
  <c r="U357" i="4"/>
  <c r="Q357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AB305" i="4"/>
  <c r="AB358" i="4" s="1"/>
  <c r="AA305" i="4"/>
  <c r="AA358" i="4" s="1"/>
  <c r="AB357" i="4" s="1"/>
  <c r="Z305" i="4"/>
  <c r="Y305" i="4"/>
  <c r="Y358" i="4" s="1"/>
  <c r="Z357" i="4" s="1"/>
  <c r="X305" i="4"/>
  <c r="W305" i="4"/>
  <c r="V305" i="4"/>
  <c r="U305" i="4"/>
  <c r="T305" i="4"/>
  <c r="S305" i="4"/>
  <c r="AB304" i="4"/>
  <c r="AA304" i="4"/>
  <c r="Z304" i="4"/>
  <c r="Y304" i="4"/>
  <c r="X304" i="4"/>
  <c r="W304" i="4"/>
  <c r="V304" i="4"/>
  <c r="U304" i="4"/>
  <c r="T304" i="4"/>
  <c r="S304" i="4"/>
  <c r="R304" i="4"/>
  <c r="AB303" i="4"/>
  <c r="AA303" i="4"/>
  <c r="Z303" i="4"/>
  <c r="Y303" i="4"/>
  <c r="X303" i="4"/>
  <c r="W303" i="4"/>
  <c r="V303" i="4"/>
  <c r="U303" i="4"/>
  <c r="T303" i="4"/>
  <c r="S303" i="4"/>
  <c r="R303" i="4"/>
  <c r="AB300" i="4"/>
  <c r="AA300" i="4"/>
  <c r="Y300" i="4"/>
  <c r="X300" i="4"/>
  <c r="W300" i="4"/>
  <c r="V300" i="4"/>
  <c r="U300" i="4"/>
  <c r="AB299" i="4"/>
  <c r="AA299" i="4"/>
  <c r="Z299" i="4"/>
  <c r="Y299" i="4"/>
  <c r="X299" i="4"/>
  <c r="W299" i="4"/>
  <c r="V299" i="4"/>
  <c r="U299" i="4"/>
  <c r="T299" i="4"/>
  <c r="S299" i="4"/>
  <c r="Q299" i="4"/>
  <c r="AB298" i="4"/>
  <c r="AA298" i="4"/>
  <c r="Z298" i="4"/>
  <c r="Y298" i="4"/>
  <c r="X298" i="4"/>
  <c r="W298" i="4"/>
  <c r="V298" i="4"/>
  <c r="U298" i="4"/>
  <c r="T298" i="4"/>
  <c r="S298" i="4"/>
  <c r="Q298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AB275" i="4"/>
  <c r="AB339" i="4" s="1"/>
  <c r="AA275" i="4"/>
  <c r="AA339" i="4" s="1"/>
  <c r="Z275" i="4"/>
  <c r="Z339" i="4" s="1"/>
  <c r="Y275" i="4"/>
  <c r="Y339" i="4" s="1"/>
  <c r="X275" i="4"/>
  <c r="X339" i="4" s="1"/>
  <c r="W275" i="4"/>
  <c r="W339" i="4" s="1"/>
  <c r="V275" i="4"/>
  <c r="V339" i="4" s="1"/>
  <c r="U275" i="4"/>
  <c r="U339" i="4" s="1"/>
  <c r="T275" i="4"/>
  <c r="T339" i="4" s="1"/>
  <c r="S275" i="4"/>
  <c r="S339" i="4" s="1"/>
  <c r="R275" i="4"/>
  <c r="R339" i="4" s="1"/>
  <c r="Q275" i="4"/>
  <c r="Q339" i="4" s="1"/>
  <c r="AB271" i="4"/>
  <c r="AA271" i="4"/>
  <c r="Z271" i="4"/>
  <c r="Y271" i="4"/>
  <c r="X271" i="4"/>
  <c r="W271" i="4"/>
  <c r="V271" i="4"/>
  <c r="U271" i="4"/>
  <c r="T271" i="4"/>
  <c r="S271" i="4"/>
  <c r="R271" i="4"/>
  <c r="Q271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AB267" i="4"/>
  <c r="AA267" i="4"/>
  <c r="Z267" i="4"/>
  <c r="Y267" i="4"/>
  <c r="Y111" i="4" s="1"/>
  <c r="X267" i="4"/>
  <c r="W267" i="4"/>
  <c r="V267" i="4"/>
  <c r="U267" i="4"/>
  <c r="T267" i="4"/>
  <c r="S267" i="4"/>
  <c r="R267" i="4"/>
  <c r="Q267" i="4"/>
  <c r="Q111" i="4" s="1"/>
  <c r="X266" i="4"/>
  <c r="AB259" i="4"/>
  <c r="Z259" i="4"/>
  <c r="T259" i="4"/>
  <c r="T257" i="4" s="1"/>
  <c r="T256" i="4" s="1"/>
  <c r="Q259" i="4"/>
  <c r="AB258" i="4"/>
  <c r="AA258" i="4"/>
  <c r="X258" i="4"/>
  <c r="X257" i="4" s="1"/>
  <c r="X256" i="4" s="1"/>
  <c r="X352" i="4" s="1"/>
  <c r="T258" i="4"/>
  <c r="AB257" i="4"/>
  <c r="AA257" i="4"/>
  <c r="Z257" i="4"/>
  <c r="Y257" i="4"/>
  <c r="W257" i="4"/>
  <c r="V257" i="4"/>
  <c r="U257" i="4"/>
  <c r="S257" i="4"/>
  <c r="R257" i="4"/>
  <c r="Q257" i="4"/>
  <c r="AB256" i="4"/>
  <c r="AA256" i="4"/>
  <c r="Z256" i="4"/>
  <c r="Y256" i="4"/>
  <c r="W256" i="4"/>
  <c r="V256" i="4"/>
  <c r="V352" i="4" s="1"/>
  <c r="U256" i="4"/>
  <c r="S256" i="4"/>
  <c r="R256" i="4"/>
  <c r="R352" i="4" s="1"/>
  <c r="Q256" i="4"/>
  <c r="Z255" i="4"/>
  <c r="Y255" i="4"/>
  <c r="X255" i="4"/>
  <c r="X228" i="4" s="1"/>
  <c r="S255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AB245" i="4"/>
  <c r="Z245" i="4"/>
  <c r="U245" i="4"/>
  <c r="U240" i="4" s="1"/>
  <c r="U228" i="4" s="1"/>
  <c r="AB243" i="4"/>
  <c r="AB240" i="4" s="1"/>
  <c r="AA242" i="4"/>
  <c r="AA240" i="4"/>
  <c r="Z240" i="4"/>
  <c r="Y240" i="4"/>
  <c r="X240" i="4"/>
  <c r="W240" i="4"/>
  <c r="V240" i="4"/>
  <c r="T240" i="4"/>
  <c r="S240" i="4"/>
  <c r="R240" i="4"/>
  <c r="Q240" i="4"/>
  <c r="AB236" i="4"/>
  <c r="AA236" i="4"/>
  <c r="AA228" i="4" s="1"/>
  <c r="Z236" i="4"/>
  <c r="Y236" i="4"/>
  <c r="X236" i="4"/>
  <c r="W236" i="4"/>
  <c r="W228" i="4" s="1"/>
  <c r="V236" i="4"/>
  <c r="U236" i="4"/>
  <c r="T236" i="4"/>
  <c r="S236" i="4"/>
  <c r="S228" i="4" s="1"/>
  <c r="R236" i="4"/>
  <c r="Q236" i="4"/>
  <c r="AB235" i="4"/>
  <c r="AB230" i="4"/>
  <c r="AB229" i="4" s="1"/>
  <c r="R230" i="4"/>
  <c r="AA229" i="4"/>
  <c r="Z229" i="4"/>
  <c r="Y229" i="4"/>
  <c r="X229" i="4"/>
  <c r="W229" i="4"/>
  <c r="V229" i="4"/>
  <c r="U229" i="4"/>
  <c r="T229" i="4"/>
  <c r="S229" i="4"/>
  <c r="R229" i="4"/>
  <c r="Q229" i="4"/>
  <c r="Z228" i="4"/>
  <c r="Y228" i="4"/>
  <c r="V228" i="4"/>
  <c r="T228" i="4"/>
  <c r="R228" i="4"/>
  <c r="Q228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AB206" i="4"/>
  <c r="AB331" i="4" s="1"/>
  <c r="AA206" i="4"/>
  <c r="AA331" i="4" s="1"/>
  <c r="Z206" i="4"/>
  <c r="Z331" i="4" s="1"/>
  <c r="Y206" i="4"/>
  <c r="Y331" i="4" s="1"/>
  <c r="X206" i="4"/>
  <c r="X331" i="4" s="1"/>
  <c r="W206" i="4"/>
  <c r="W331" i="4" s="1"/>
  <c r="V206" i="4"/>
  <c r="V331" i="4" s="1"/>
  <c r="U206" i="4"/>
  <c r="U331" i="4" s="1"/>
  <c r="T206" i="4"/>
  <c r="T331" i="4" s="1"/>
  <c r="S206" i="4"/>
  <c r="S331" i="4" s="1"/>
  <c r="R206" i="4"/>
  <c r="R331" i="4" s="1"/>
  <c r="Q206" i="4"/>
  <c r="Q331" i="4" s="1"/>
  <c r="AB203" i="4"/>
  <c r="AA203" i="4"/>
  <c r="Z203" i="4"/>
  <c r="Y203" i="4"/>
  <c r="X203" i="4"/>
  <c r="W203" i="4"/>
  <c r="V203" i="4"/>
  <c r="U203" i="4"/>
  <c r="T203" i="4"/>
  <c r="S203" i="4"/>
  <c r="R203" i="4"/>
  <c r="Q203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AB193" i="4"/>
  <c r="AB335" i="4" s="1"/>
  <c r="AA193" i="4"/>
  <c r="AA335" i="4" s="1"/>
  <c r="Z193" i="4"/>
  <c r="Z335" i="4" s="1"/>
  <c r="Y193" i="4"/>
  <c r="Y335" i="4" s="1"/>
  <c r="X193" i="4"/>
  <c r="X335" i="4" s="1"/>
  <c r="W193" i="4"/>
  <c r="W335" i="4" s="1"/>
  <c r="V193" i="4"/>
  <c r="V335" i="4" s="1"/>
  <c r="U193" i="4"/>
  <c r="U335" i="4" s="1"/>
  <c r="T193" i="4"/>
  <c r="T335" i="4" s="1"/>
  <c r="S193" i="4"/>
  <c r="S335" i="4" s="1"/>
  <c r="R193" i="4"/>
  <c r="R335" i="4" s="1"/>
  <c r="Q193" i="4"/>
  <c r="Q335" i="4" s="1"/>
  <c r="AB189" i="4"/>
  <c r="AA189" i="4"/>
  <c r="Z189" i="4"/>
  <c r="Y189" i="4"/>
  <c r="X189" i="4"/>
  <c r="W189" i="4"/>
  <c r="V189" i="4"/>
  <c r="U189" i="4"/>
  <c r="T189" i="4"/>
  <c r="S189" i="4"/>
  <c r="R189" i="4"/>
  <c r="Q189" i="4"/>
  <c r="AB182" i="4"/>
  <c r="AB332" i="4" s="1"/>
  <c r="AA182" i="4"/>
  <c r="AA332" i="4" s="1"/>
  <c r="Z182" i="4"/>
  <c r="Z332" i="4" s="1"/>
  <c r="Y182" i="4"/>
  <c r="Y332" i="4" s="1"/>
  <c r="X182" i="4"/>
  <c r="X332" i="4" s="1"/>
  <c r="W182" i="4"/>
  <c r="W332" i="4" s="1"/>
  <c r="V182" i="4"/>
  <c r="V332" i="4" s="1"/>
  <c r="U182" i="4"/>
  <c r="U332" i="4" s="1"/>
  <c r="T182" i="4"/>
  <c r="T332" i="4" s="1"/>
  <c r="S182" i="4"/>
  <c r="S332" i="4" s="1"/>
  <c r="R182" i="4"/>
  <c r="R332" i="4" s="1"/>
  <c r="Q182" i="4"/>
  <c r="Q332" i="4" s="1"/>
  <c r="AB181" i="4"/>
  <c r="AA181" i="4"/>
  <c r="Z181" i="4"/>
  <c r="Y181" i="4"/>
  <c r="X181" i="4"/>
  <c r="W181" i="4"/>
  <c r="U181" i="4"/>
  <c r="T181" i="4"/>
  <c r="S181" i="4"/>
  <c r="R181" i="4"/>
  <c r="Q181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AB167" i="4"/>
  <c r="AB336" i="4" s="1"/>
  <c r="AA167" i="4"/>
  <c r="AA336" i="4" s="1"/>
  <c r="Z167" i="4"/>
  <c r="Z336" i="4" s="1"/>
  <c r="Y167" i="4"/>
  <c r="Y336" i="4" s="1"/>
  <c r="X167" i="4"/>
  <c r="X336" i="4" s="1"/>
  <c r="W167" i="4"/>
  <c r="W336" i="4" s="1"/>
  <c r="V167" i="4"/>
  <c r="V336" i="4" s="1"/>
  <c r="U167" i="4"/>
  <c r="U336" i="4" s="1"/>
  <c r="T167" i="4"/>
  <c r="T336" i="4" s="1"/>
  <c r="S167" i="4"/>
  <c r="S336" i="4" s="1"/>
  <c r="R167" i="4"/>
  <c r="R336" i="4" s="1"/>
  <c r="Q167" i="4"/>
  <c r="Q336" i="4" s="1"/>
  <c r="AB160" i="4"/>
  <c r="AA160" i="4"/>
  <c r="Z160" i="4"/>
  <c r="Y160" i="4"/>
  <c r="X160" i="4"/>
  <c r="W160" i="4"/>
  <c r="V160" i="4"/>
  <c r="U160" i="4"/>
  <c r="T160" i="4"/>
  <c r="S160" i="4"/>
  <c r="R160" i="4"/>
  <c r="Q160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AB143" i="4"/>
  <c r="AB333" i="4" s="1"/>
  <c r="AB354" i="4" s="1"/>
  <c r="AA143" i="4"/>
  <c r="AA333" i="4" s="1"/>
  <c r="Z143" i="4"/>
  <c r="Z333" i="4" s="1"/>
  <c r="Y143" i="4"/>
  <c r="Y333" i="4" s="1"/>
  <c r="X143" i="4"/>
  <c r="X333" i="4" s="1"/>
  <c r="W143" i="4"/>
  <c r="W333" i="4" s="1"/>
  <c r="V143" i="4"/>
  <c r="V333" i="4" s="1"/>
  <c r="U143" i="4"/>
  <c r="U333" i="4" s="1"/>
  <c r="T143" i="4"/>
  <c r="T333" i="4" s="1"/>
  <c r="S143" i="4"/>
  <c r="S333" i="4" s="1"/>
  <c r="R143" i="4"/>
  <c r="R333" i="4" s="1"/>
  <c r="Q143" i="4"/>
  <c r="Q333" i="4" s="1"/>
  <c r="Q354" i="4" s="1"/>
  <c r="AB133" i="4"/>
  <c r="AA133" i="4"/>
  <c r="Z133" i="4"/>
  <c r="Y133" i="4"/>
  <c r="X133" i="4"/>
  <c r="W133" i="4"/>
  <c r="V133" i="4"/>
  <c r="U133" i="4"/>
  <c r="T133" i="4"/>
  <c r="S133" i="4"/>
  <c r="R133" i="4"/>
  <c r="Q133" i="4"/>
  <c r="AB122" i="4"/>
  <c r="AB330" i="4" s="1"/>
  <c r="AA122" i="4"/>
  <c r="AA330" i="4" s="1"/>
  <c r="Z122" i="4"/>
  <c r="Y122" i="4"/>
  <c r="Y330" i="4" s="1"/>
  <c r="X122" i="4"/>
  <c r="X330" i="4" s="1"/>
  <c r="W122" i="4"/>
  <c r="W330" i="4" s="1"/>
  <c r="V122" i="4"/>
  <c r="V330" i="4" s="1"/>
  <c r="U122" i="4"/>
  <c r="U330" i="4" s="1"/>
  <c r="T122" i="4"/>
  <c r="T330" i="4" s="1"/>
  <c r="S122" i="4"/>
  <c r="S330" i="4" s="1"/>
  <c r="R122" i="4"/>
  <c r="R330" i="4" s="1"/>
  <c r="Q122" i="4"/>
  <c r="Q330" i="4" s="1"/>
  <c r="AB113" i="4"/>
  <c r="AB329" i="4" s="1"/>
  <c r="AB328" i="4" s="1"/>
  <c r="AA113" i="4"/>
  <c r="AA329" i="4" s="1"/>
  <c r="AA328" i="4" s="1"/>
  <c r="Z113" i="4"/>
  <c r="Z329" i="4" s="1"/>
  <c r="Y113" i="4"/>
  <c r="Y329" i="4" s="1"/>
  <c r="Y328" i="4" s="1"/>
  <c r="X113" i="4"/>
  <c r="X329" i="4" s="1"/>
  <c r="X328" i="4" s="1"/>
  <c r="W113" i="4"/>
  <c r="W329" i="4" s="1"/>
  <c r="W328" i="4" s="1"/>
  <c r="V113" i="4"/>
  <c r="V329" i="4" s="1"/>
  <c r="U113" i="4"/>
  <c r="U329" i="4" s="1"/>
  <c r="U328" i="4" s="1"/>
  <c r="T113" i="4"/>
  <c r="T329" i="4" s="1"/>
  <c r="T328" i="4" s="1"/>
  <c r="S113" i="4"/>
  <c r="S329" i="4" s="1"/>
  <c r="S328" i="4" s="1"/>
  <c r="R113" i="4"/>
  <c r="R329" i="4" s="1"/>
  <c r="R328" i="4" s="1"/>
  <c r="Q113" i="4"/>
  <c r="Q329" i="4" s="1"/>
  <c r="Q328" i="4" s="1"/>
  <c r="AB112" i="4"/>
  <c r="AA112" i="4"/>
  <c r="Z112" i="4"/>
  <c r="Y112" i="4"/>
  <c r="X112" i="4"/>
  <c r="W112" i="4"/>
  <c r="V112" i="4"/>
  <c r="U112" i="4"/>
  <c r="T112" i="4"/>
  <c r="S112" i="4"/>
  <c r="R112" i="4"/>
  <c r="Q112" i="4"/>
  <c r="Z111" i="4"/>
  <c r="R111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AB107" i="4"/>
  <c r="AB342" i="4" s="1"/>
  <c r="AA107" i="4"/>
  <c r="AA342" i="4" s="1"/>
  <c r="Z107" i="4"/>
  <c r="Z342" i="4" s="1"/>
  <c r="Y107" i="4"/>
  <c r="Y342" i="4" s="1"/>
  <c r="X107" i="4"/>
  <c r="X342" i="4" s="1"/>
  <c r="W107" i="4"/>
  <c r="W342" i="4" s="1"/>
  <c r="V107" i="4"/>
  <c r="V342" i="4" s="1"/>
  <c r="U107" i="4"/>
  <c r="U342" i="4" s="1"/>
  <c r="T107" i="4"/>
  <c r="T342" i="4" s="1"/>
  <c r="S107" i="4"/>
  <c r="S342" i="4" s="1"/>
  <c r="R107" i="4"/>
  <c r="R342" i="4" s="1"/>
  <c r="Q107" i="4"/>
  <c r="Q342" i="4" s="1"/>
  <c r="AB104" i="4"/>
  <c r="AA104" i="4"/>
  <c r="Z104" i="4"/>
  <c r="Y104" i="4"/>
  <c r="X104" i="4"/>
  <c r="W104" i="4"/>
  <c r="V104" i="4"/>
  <c r="U104" i="4"/>
  <c r="T104" i="4"/>
  <c r="S104" i="4"/>
  <c r="R104" i="4"/>
  <c r="Q104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AB97" i="4"/>
  <c r="AA97" i="4"/>
  <c r="Z97" i="4"/>
  <c r="Y97" i="4"/>
  <c r="X97" i="4"/>
  <c r="W97" i="4"/>
  <c r="V97" i="4"/>
  <c r="U97" i="4"/>
  <c r="T97" i="4"/>
  <c r="S97" i="4"/>
  <c r="R97" i="4"/>
  <c r="Q97" i="4"/>
  <c r="AB93" i="4"/>
  <c r="AA93" i="4"/>
  <c r="Z93" i="4"/>
  <c r="Y93" i="4"/>
  <c r="X93" i="4"/>
  <c r="W93" i="4"/>
  <c r="V93" i="4"/>
  <c r="U93" i="4"/>
  <c r="T93" i="4"/>
  <c r="S93" i="4"/>
  <c r="R93" i="4"/>
  <c r="Q93" i="4"/>
  <c r="AB89" i="4"/>
  <c r="AA89" i="4"/>
  <c r="Z89" i="4"/>
  <c r="Y89" i="4"/>
  <c r="X89" i="4"/>
  <c r="W89" i="4"/>
  <c r="V89" i="4"/>
  <c r="U89" i="4"/>
  <c r="T89" i="4"/>
  <c r="S89" i="4"/>
  <c r="R89" i="4"/>
  <c r="Q89" i="4"/>
  <c r="AB83" i="4"/>
  <c r="AA83" i="4"/>
  <c r="Z83" i="4"/>
  <c r="Y83" i="4"/>
  <c r="X83" i="4"/>
  <c r="W83" i="4"/>
  <c r="V83" i="4"/>
  <c r="U83" i="4"/>
  <c r="T83" i="4"/>
  <c r="S83" i="4"/>
  <c r="R83" i="4"/>
  <c r="Q83" i="4"/>
  <c r="AB82" i="4"/>
  <c r="AA82" i="4"/>
  <c r="Z82" i="4"/>
  <c r="Y82" i="4"/>
  <c r="X82" i="4"/>
  <c r="W82" i="4"/>
  <c r="V82" i="4"/>
  <c r="U82" i="4"/>
  <c r="T82" i="4"/>
  <c r="S82" i="4"/>
  <c r="R82" i="4"/>
  <c r="Q82" i="4"/>
  <c r="AB79" i="4"/>
  <c r="AA79" i="4"/>
  <c r="Z79" i="4"/>
  <c r="Y79" i="4"/>
  <c r="X79" i="4"/>
  <c r="W79" i="4"/>
  <c r="V79" i="4"/>
  <c r="U79" i="4"/>
  <c r="T79" i="4"/>
  <c r="S79" i="4"/>
  <c r="R79" i="4"/>
  <c r="Q79" i="4"/>
  <c r="AB66" i="4"/>
  <c r="AA66" i="4"/>
  <c r="Z66" i="4"/>
  <c r="Y66" i="4"/>
  <c r="X66" i="4"/>
  <c r="W66" i="4"/>
  <c r="V66" i="4"/>
  <c r="U66" i="4"/>
  <c r="T66" i="4"/>
  <c r="S66" i="4"/>
  <c r="R66" i="4"/>
  <c r="Q66" i="4"/>
  <c r="AB65" i="4"/>
  <c r="AB325" i="4" s="1"/>
  <c r="AA65" i="4"/>
  <c r="AA325" i="4" s="1"/>
  <c r="Z65" i="4"/>
  <c r="Z325" i="4" s="1"/>
  <c r="Y65" i="4"/>
  <c r="Y325" i="4" s="1"/>
  <c r="X65" i="4"/>
  <c r="X325" i="4" s="1"/>
  <c r="W65" i="4"/>
  <c r="W325" i="4" s="1"/>
  <c r="V65" i="4"/>
  <c r="V325" i="4" s="1"/>
  <c r="U65" i="4"/>
  <c r="U325" i="4" s="1"/>
  <c r="T65" i="4"/>
  <c r="T325" i="4" s="1"/>
  <c r="S65" i="4"/>
  <c r="S325" i="4" s="1"/>
  <c r="R65" i="4"/>
  <c r="R325" i="4" s="1"/>
  <c r="Q65" i="4"/>
  <c r="Q325" i="4" s="1"/>
  <c r="AB57" i="4"/>
  <c r="V57" i="4"/>
  <c r="W56" i="4"/>
  <c r="V56" i="4"/>
  <c r="Z55" i="4"/>
  <c r="Z54" i="4" s="1"/>
  <c r="Z53" i="4" s="1"/>
  <c r="Z3" i="4" s="1"/>
  <c r="Z2" i="4" s="1"/>
  <c r="AB54" i="4"/>
  <c r="AA54" i="4"/>
  <c r="Y54" i="4"/>
  <c r="X54" i="4"/>
  <c r="W54" i="4"/>
  <c r="V54" i="4"/>
  <c r="U54" i="4"/>
  <c r="T54" i="4"/>
  <c r="S54" i="4"/>
  <c r="R54" i="4"/>
  <c r="Q54" i="4"/>
  <c r="AB53" i="4"/>
  <c r="AA53" i="4"/>
  <c r="Y53" i="4"/>
  <c r="X53" i="4"/>
  <c r="W53" i="4"/>
  <c r="V53" i="4"/>
  <c r="U53" i="4"/>
  <c r="T53" i="4"/>
  <c r="S53" i="4"/>
  <c r="R53" i="4"/>
  <c r="Q53" i="4"/>
  <c r="AA52" i="4"/>
  <c r="W52" i="4"/>
  <c r="V52" i="4"/>
  <c r="T52" i="4"/>
  <c r="S52" i="4"/>
  <c r="AB47" i="4"/>
  <c r="AA47" i="4"/>
  <c r="Z47" i="4"/>
  <c r="Y47" i="4"/>
  <c r="X47" i="4"/>
  <c r="W47" i="4"/>
  <c r="V47" i="4"/>
  <c r="U47" i="4"/>
  <c r="T47" i="4"/>
  <c r="S47" i="4"/>
  <c r="R47" i="4"/>
  <c r="Q47" i="4"/>
  <c r="AB43" i="4"/>
  <c r="AA43" i="4"/>
  <c r="Z43" i="4"/>
  <c r="Y43" i="4"/>
  <c r="X43" i="4"/>
  <c r="W43" i="4"/>
  <c r="V43" i="4"/>
  <c r="U43" i="4"/>
  <c r="T43" i="4"/>
  <c r="S43" i="4"/>
  <c r="R43" i="4"/>
  <c r="Q43" i="4"/>
  <c r="AB40" i="4"/>
  <c r="AB37" i="4" s="1"/>
  <c r="AB25" i="4" s="1"/>
  <c r="AA37" i="4"/>
  <c r="Z37" i="4"/>
  <c r="Y37" i="4"/>
  <c r="X37" i="4"/>
  <c r="W37" i="4"/>
  <c r="V37" i="4"/>
  <c r="U37" i="4"/>
  <c r="T37" i="4"/>
  <c r="S37" i="4"/>
  <c r="R37" i="4"/>
  <c r="Q37" i="4"/>
  <c r="AB33" i="4"/>
  <c r="AA33" i="4"/>
  <c r="AA25" i="4" s="1"/>
  <c r="AA324" i="4" s="1"/>
  <c r="Z33" i="4"/>
  <c r="Y33" i="4"/>
  <c r="X33" i="4"/>
  <c r="W33" i="4"/>
  <c r="W25" i="4" s="1"/>
  <c r="W324" i="4" s="1"/>
  <c r="V33" i="4"/>
  <c r="U33" i="4"/>
  <c r="U25" i="4" s="1"/>
  <c r="U324" i="4" s="1"/>
  <c r="T33" i="4"/>
  <c r="S33" i="4"/>
  <c r="S25" i="4" s="1"/>
  <c r="S324" i="4" s="1"/>
  <c r="R33" i="4"/>
  <c r="Q33" i="4"/>
  <c r="Q25" i="4" s="1"/>
  <c r="Q324" i="4" s="1"/>
  <c r="AB32" i="4"/>
  <c r="Y32" i="4"/>
  <c r="Y26" i="4" s="1"/>
  <c r="Y25" i="4" s="1"/>
  <c r="Y324" i="4" s="1"/>
  <c r="R27" i="4"/>
  <c r="AB26" i="4"/>
  <c r="AA26" i="4"/>
  <c r="Z26" i="4"/>
  <c r="X26" i="4"/>
  <c r="W26" i="4"/>
  <c r="V26" i="4"/>
  <c r="U26" i="4"/>
  <c r="T26" i="4"/>
  <c r="S26" i="4"/>
  <c r="R26" i="4"/>
  <c r="Q26" i="4"/>
  <c r="Z25" i="4"/>
  <c r="X25" i="4"/>
  <c r="X324" i="4" s="1"/>
  <c r="V25" i="4"/>
  <c r="V324" i="4" s="1"/>
  <c r="T25" i="4"/>
  <c r="T324" i="4" s="1"/>
  <c r="R25" i="4"/>
  <c r="R324" i="4" s="1"/>
  <c r="AA24" i="4"/>
  <c r="Y24" i="4"/>
  <c r="X24" i="4"/>
  <c r="AB19" i="4"/>
  <c r="AA19" i="4"/>
  <c r="AA15" i="4" s="1"/>
  <c r="Z19" i="4"/>
  <c r="Y19" i="4"/>
  <c r="X19" i="4"/>
  <c r="W19" i="4"/>
  <c r="W15" i="4" s="1"/>
  <c r="V19" i="4"/>
  <c r="U19" i="4"/>
  <c r="U15" i="4" s="1"/>
  <c r="T19" i="4"/>
  <c r="S19" i="4"/>
  <c r="S15" i="4" s="1"/>
  <c r="R19" i="4"/>
  <c r="Q19" i="4"/>
  <c r="Q15" i="4" s="1"/>
  <c r="AA18" i="4"/>
  <c r="Y18" i="4"/>
  <c r="Y16" i="4" s="1"/>
  <c r="X18" i="4"/>
  <c r="AB16" i="4"/>
  <c r="AB321" i="4" s="1"/>
  <c r="AA16" i="4"/>
  <c r="AA321" i="4" s="1"/>
  <c r="Z16" i="4"/>
  <c r="Z321" i="4" s="1"/>
  <c r="X16" i="4"/>
  <c r="X321" i="4" s="1"/>
  <c r="W16" i="4"/>
  <c r="W321" i="4" s="1"/>
  <c r="V16" i="4"/>
  <c r="V321" i="4" s="1"/>
  <c r="U16" i="4"/>
  <c r="U321" i="4" s="1"/>
  <c r="T16" i="4"/>
  <c r="T321" i="4" s="1"/>
  <c r="S16" i="4"/>
  <c r="S321" i="4" s="1"/>
  <c r="R16" i="4"/>
  <c r="R321" i="4" s="1"/>
  <c r="Q16" i="4"/>
  <c r="Q321" i="4" s="1"/>
  <c r="AB15" i="4"/>
  <c r="AB320" i="4" s="1"/>
  <c r="AB322" i="4" s="1"/>
  <c r="Z15" i="4"/>
  <c r="Z320" i="4" s="1"/>
  <c r="X15" i="4"/>
  <c r="X320" i="4" s="1"/>
  <c r="X322" i="4" s="1"/>
  <c r="V15" i="4"/>
  <c r="V320" i="4" s="1"/>
  <c r="V322" i="4" s="1"/>
  <c r="T15" i="4"/>
  <c r="T320" i="4" s="1"/>
  <c r="T322" i="4" s="1"/>
  <c r="R15" i="4"/>
  <c r="R320" i="4" s="1"/>
  <c r="AB12" i="4"/>
  <c r="AB323" i="4" s="1"/>
  <c r="AA12" i="4"/>
  <c r="AA323" i="4" s="1"/>
  <c r="Z12" i="4"/>
  <c r="Z323" i="4" s="1"/>
  <c r="Y12" i="4"/>
  <c r="Y323" i="4" s="1"/>
  <c r="X12" i="4"/>
  <c r="X323" i="4" s="1"/>
  <c r="W12" i="4"/>
  <c r="W323" i="4" s="1"/>
  <c r="V12" i="4"/>
  <c r="V323" i="4" s="1"/>
  <c r="U12" i="4"/>
  <c r="U323" i="4" s="1"/>
  <c r="T12" i="4"/>
  <c r="T323" i="4" s="1"/>
  <c r="S12" i="4"/>
  <c r="S323" i="4" s="1"/>
  <c r="R12" i="4"/>
  <c r="R323" i="4" s="1"/>
  <c r="Q12" i="4"/>
  <c r="Q323" i="4" s="1"/>
  <c r="AB9" i="4"/>
  <c r="AA9" i="4"/>
  <c r="Z9" i="4"/>
  <c r="Y9" i="4"/>
  <c r="X9" i="4"/>
  <c r="W9" i="4"/>
  <c r="V9" i="4"/>
  <c r="U9" i="4"/>
  <c r="T9" i="4"/>
  <c r="S9" i="4"/>
  <c r="R9" i="4"/>
  <c r="Q9" i="4"/>
  <c r="AB8" i="4"/>
  <c r="AB319" i="4" s="1"/>
  <c r="AA8" i="4"/>
  <c r="AA319" i="4" s="1"/>
  <c r="Z8" i="4"/>
  <c r="Z319" i="4" s="1"/>
  <c r="Y8" i="4"/>
  <c r="Y319" i="4" s="1"/>
  <c r="X8" i="4"/>
  <c r="X319" i="4" s="1"/>
  <c r="W8" i="4"/>
  <c r="W319" i="4" s="1"/>
  <c r="V8" i="4"/>
  <c r="V319" i="4" s="1"/>
  <c r="U8" i="4"/>
  <c r="U319" i="4" s="1"/>
  <c r="T8" i="4"/>
  <c r="T319" i="4" s="1"/>
  <c r="S8" i="4"/>
  <c r="S319" i="4" s="1"/>
  <c r="R8" i="4"/>
  <c r="R319" i="4" s="1"/>
  <c r="Q8" i="4"/>
  <c r="Q319" i="4" s="1"/>
  <c r="AB5" i="4"/>
  <c r="AA5" i="4"/>
  <c r="Z5" i="4"/>
  <c r="Y5" i="4"/>
  <c r="X5" i="4"/>
  <c r="W5" i="4"/>
  <c r="V5" i="4"/>
  <c r="U5" i="4"/>
  <c r="T5" i="4"/>
  <c r="S5" i="4"/>
  <c r="R5" i="4"/>
  <c r="Q5" i="4"/>
  <c r="AB4" i="4"/>
  <c r="AB318" i="4" s="1"/>
  <c r="AA4" i="4"/>
  <c r="AA318" i="4" s="1"/>
  <c r="Z4" i="4"/>
  <c r="Z318" i="4" s="1"/>
  <c r="Z317" i="4" s="1"/>
  <c r="Y4" i="4"/>
  <c r="Y318" i="4" s="1"/>
  <c r="X4" i="4"/>
  <c r="X318" i="4" s="1"/>
  <c r="X317" i="4" s="1"/>
  <c r="W4" i="4"/>
  <c r="W318" i="4" s="1"/>
  <c r="V4" i="4"/>
  <c r="V318" i="4" s="1"/>
  <c r="U4" i="4"/>
  <c r="U318" i="4" s="1"/>
  <c r="T4" i="4"/>
  <c r="T318" i="4" s="1"/>
  <c r="T317" i="4" s="1"/>
  <c r="S4" i="4"/>
  <c r="S318" i="4" s="1"/>
  <c r="R4" i="4"/>
  <c r="R318" i="4" s="1"/>
  <c r="R317" i="4" s="1"/>
  <c r="Q4" i="4"/>
  <c r="Q318" i="4" s="1"/>
  <c r="V3" i="4"/>
  <c r="R3" i="4"/>
  <c r="V2" i="4"/>
  <c r="R2" i="4"/>
  <c r="S320" i="4" l="1"/>
  <c r="S322" i="4" s="1"/>
  <c r="S3" i="4"/>
  <c r="S2" i="4" s="1"/>
  <c r="X348" i="4"/>
  <c r="X316" i="4"/>
  <c r="AB317" i="4"/>
  <c r="R322" i="4"/>
  <c r="Z322" i="4"/>
  <c r="Q320" i="4"/>
  <c r="Q322" i="4" s="1"/>
  <c r="Q3" i="4"/>
  <c r="Q2" i="4" s="1"/>
  <c r="U320" i="4"/>
  <c r="U322" i="4" s="1"/>
  <c r="U3" i="4"/>
  <c r="U2" i="4" s="1"/>
  <c r="Y321" i="4"/>
  <c r="Y15" i="4"/>
  <c r="W320" i="4"/>
  <c r="W322" i="4" s="1"/>
  <c r="W3" i="4"/>
  <c r="W2" i="4" s="1"/>
  <c r="T348" i="4"/>
  <c r="T316" i="4"/>
  <c r="U351" i="4"/>
  <c r="U337" i="4"/>
  <c r="U111" i="4"/>
  <c r="X351" i="4"/>
  <c r="X350" i="4" s="1"/>
  <c r="X349" i="4" s="1"/>
  <c r="X337" i="4"/>
  <c r="X111" i="4"/>
  <c r="T352" i="4"/>
  <c r="T111" i="4"/>
  <c r="R348" i="4"/>
  <c r="R316" i="4"/>
  <c r="V317" i="4"/>
  <c r="Z348" i="4"/>
  <c r="AB324" i="4"/>
  <c r="AB3" i="4"/>
  <c r="AB2" i="4" s="1"/>
  <c r="AB228" i="4"/>
  <c r="S351" i="4"/>
  <c r="S337" i="4"/>
  <c r="S111" i="4"/>
  <c r="W351" i="4"/>
  <c r="W337" i="4"/>
  <c r="W111" i="4"/>
  <c r="AA351" i="4"/>
  <c r="AA350" i="4" s="1"/>
  <c r="AA349" i="4" s="1"/>
  <c r="AA337" i="4"/>
  <c r="AA111" i="4"/>
  <c r="AA320" i="4"/>
  <c r="AA322" i="4" s="1"/>
  <c r="AA3" i="4"/>
  <c r="AA2" i="4" s="1"/>
  <c r="V328" i="4"/>
  <c r="T3" i="4"/>
  <c r="T2" i="4" s="1"/>
  <c r="X3" i="4"/>
  <c r="X2" i="4" s="1"/>
  <c r="Z324" i="4"/>
  <c r="Z316" i="4" s="1"/>
  <c r="U327" i="4"/>
  <c r="Q351" i="4"/>
  <c r="Q337" i="4"/>
  <c r="Q327" i="4" s="1"/>
  <c r="Y351" i="4"/>
  <c r="Y337" i="4"/>
  <c r="Y327" i="4" s="1"/>
  <c r="Q352" i="4"/>
  <c r="U352" i="4"/>
  <c r="Y352" i="4"/>
  <c r="T343" i="4"/>
  <c r="X343" i="4"/>
  <c r="AB343" i="4"/>
  <c r="R351" i="4"/>
  <c r="R350" i="4" s="1"/>
  <c r="R349" i="4" s="1"/>
  <c r="R337" i="4"/>
  <c r="V351" i="4"/>
  <c r="V350" i="4" s="1"/>
  <c r="V337" i="4"/>
  <c r="Z351" i="4"/>
  <c r="Z350" i="4" s="1"/>
  <c r="Z337" i="4"/>
  <c r="Z352" i="4"/>
  <c r="U343" i="4"/>
  <c r="U341" i="4" s="1"/>
  <c r="Y343" i="4"/>
  <c r="Y341" i="4" s="1"/>
  <c r="R327" i="4"/>
  <c r="Z330" i="4"/>
  <c r="Z328" i="4" s="1"/>
  <c r="V181" i="4"/>
  <c r="V111" i="4" s="1"/>
  <c r="W341" i="4"/>
  <c r="S327" i="4"/>
  <c r="W327" i="4"/>
  <c r="AA327" i="4"/>
  <c r="S352" i="4"/>
  <c r="W352" i="4"/>
  <c r="AA352" i="4"/>
  <c r="V343" i="4"/>
  <c r="V341" i="4" s="1"/>
  <c r="Z343" i="4"/>
  <c r="Z341" i="4" s="1"/>
  <c r="T341" i="4"/>
  <c r="X341" i="4"/>
  <c r="AB341" i="4"/>
  <c r="X327" i="4"/>
  <c r="T351" i="4"/>
  <c r="T337" i="4"/>
  <c r="T327" i="4" s="1"/>
  <c r="AB352" i="4"/>
  <c r="S343" i="4"/>
  <c r="S341" i="4" s="1"/>
  <c r="W343" i="4"/>
  <c r="AA343" i="4"/>
  <c r="AA341" i="4" s="1"/>
  <c r="Z349" i="4" l="1"/>
  <c r="Z327" i="4"/>
  <c r="Z340" i="4" s="1"/>
  <c r="V348" i="4"/>
  <c r="V316" i="4"/>
  <c r="X340" i="4"/>
  <c r="Q350" i="4"/>
  <c r="Q349" i="4" s="1"/>
  <c r="Q363" i="4" s="1"/>
  <c r="R363" i="4" s="1"/>
  <c r="V349" i="4"/>
  <c r="V327" i="4"/>
  <c r="S317" i="4"/>
  <c r="R340" i="4"/>
  <c r="W317" i="4"/>
  <c r="U317" i="4"/>
  <c r="AA317" i="4"/>
  <c r="T350" i="4"/>
  <c r="T349" i="4" s="1"/>
  <c r="S350" i="4"/>
  <c r="S349" i="4" s="1"/>
  <c r="U350" i="4"/>
  <c r="U349" i="4" s="1"/>
  <c r="Q317" i="4"/>
  <c r="Y350" i="4"/>
  <c r="Y349" i="4" s="1"/>
  <c r="W350" i="4"/>
  <c r="W349" i="4" s="1"/>
  <c r="AB351" i="4"/>
  <c r="AB350" i="4" s="1"/>
  <c r="AB349" i="4" s="1"/>
  <c r="AB337" i="4"/>
  <c r="AB327" i="4" s="1"/>
  <c r="AB111" i="4"/>
  <c r="T340" i="4"/>
  <c r="Y320" i="4"/>
  <c r="Y3" i="4"/>
  <c r="Y2" i="4" s="1"/>
  <c r="AB348" i="4"/>
  <c r="AB316" i="4"/>
  <c r="Z347" i="4" l="1"/>
  <c r="Z346" i="4"/>
  <c r="R347" i="4"/>
  <c r="R346" i="4"/>
  <c r="S348" i="4"/>
  <c r="S362" i="4" s="1"/>
  <c r="T362" i="4" s="1"/>
  <c r="S316" i="4"/>
  <c r="S340" i="4" s="1"/>
  <c r="T363" i="4"/>
  <c r="U363" i="4" s="1"/>
  <c r="V363" i="4" s="1"/>
  <c r="W363" i="4" s="1"/>
  <c r="X363" i="4" s="1"/>
  <c r="Y363" i="4" s="1"/>
  <c r="Z363" i="4" s="1"/>
  <c r="AA363" i="4" s="1"/>
  <c r="AB363" i="4" s="1"/>
  <c r="U348" i="4"/>
  <c r="U316" i="4"/>
  <c r="U340" i="4" s="1"/>
  <c r="V340" i="4"/>
  <c r="S363" i="4"/>
  <c r="X347" i="4"/>
  <c r="X346" i="4"/>
  <c r="Y322" i="4"/>
  <c r="Y317" i="4"/>
  <c r="Q348" i="4"/>
  <c r="Q362" i="4" s="1"/>
  <c r="R362" i="4" s="1"/>
  <c r="Q316" i="4"/>
  <c r="Q340" i="4" s="1"/>
  <c r="AB340" i="4"/>
  <c r="T347" i="4"/>
  <c r="T346" i="4"/>
  <c r="AA348" i="4"/>
  <c r="AA316" i="4"/>
  <c r="AA340" i="4" s="1"/>
  <c r="W348" i="4"/>
  <c r="W316" i="4"/>
  <c r="W340" i="4" s="1"/>
  <c r="Q347" i="4" l="1"/>
  <c r="Q360" i="4"/>
  <c r="R360" i="4" s="1"/>
  <c r="Q305" i="4"/>
  <c r="Q346" i="4"/>
  <c r="Q361" i="4" s="1"/>
  <c r="U362" i="4"/>
  <c r="V362" i="4" s="1"/>
  <c r="W362" i="4" s="1"/>
  <c r="X362" i="4" s="1"/>
  <c r="U347" i="4"/>
  <c r="U346" i="4"/>
  <c r="R361" i="4"/>
  <c r="AB347" i="4"/>
  <c r="AB346" i="4"/>
  <c r="AA347" i="4"/>
  <c r="AA346" i="4"/>
  <c r="W347" i="4"/>
  <c r="W346" i="4"/>
  <c r="Y348" i="4"/>
  <c r="Y316" i="4"/>
  <c r="Y340" i="4" s="1"/>
  <c r="V347" i="4"/>
  <c r="V346" i="4"/>
  <c r="S347" i="4"/>
  <c r="S360" i="4"/>
  <c r="T360" i="4" s="1"/>
  <c r="U360" i="4" s="1"/>
  <c r="V360" i="4" s="1"/>
  <c r="W360" i="4" s="1"/>
  <c r="X360" i="4" s="1"/>
  <c r="S346" i="4"/>
  <c r="Y362" i="4" l="1"/>
  <c r="Z362" i="4" s="1"/>
  <c r="AA362" i="4" s="1"/>
  <c r="AB362" i="4" s="1"/>
  <c r="Q358" i="4"/>
  <c r="Q304" i="4"/>
  <c r="Q303" i="4" s="1"/>
  <c r="Q343" i="4" s="1"/>
  <c r="Q341" i="4" s="1"/>
  <c r="R300" i="4"/>
  <c r="R299" i="4" s="1"/>
  <c r="R298" i="4" s="1"/>
  <c r="R343" i="4" s="1"/>
  <c r="R341" i="4" s="1"/>
  <c r="U361" i="4"/>
  <c r="Y347" i="4"/>
  <c r="Y360" i="4"/>
  <c r="Z360" i="4" s="1"/>
  <c r="AA360" i="4" s="1"/>
  <c r="AB360" i="4" s="1"/>
  <c r="Y346" i="4"/>
  <c r="V361" i="4"/>
  <c r="W361" i="4" s="1"/>
  <c r="X361" i="4" s="1"/>
  <c r="S361" i="4"/>
  <c r="T361" i="4" s="1"/>
  <c r="Y361" i="4" l="1"/>
  <c r="Z361" i="4" s="1"/>
  <c r="AA361" i="4" s="1"/>
  <c r="AB361" i="4" s="1"/>
  <c r="F24" i="5" l="1"/>
  <c r="F23" i="5"/>
  <c r="F18" i="5"/>
  <c r="F16" i="5"/>
  <c r="F29" i="5" s="1"/>
  <c r="F13" i="5"/>
  <c r="E24" i="5"/>
  <c r="E16" i="5" s="1"/>
  <c r="E18" i="5"/>
  <c r="E13" i="5"/>
  <c r="E29" i="5" s="1"/>
  <c r="D29" i="5"/>
  <c r="C29" i="5"/>
  <c r="C24" i="5"/>
  <c r="C18" i="5"/>
  <c r="C16" i="5"/>
  <c r="C13" i="5"/>
  <c r="D24" i="5"/>
  <c r="D18" i="5"/>
  <c r="D16" i="5"/>
  <c r="D13" i="5"/>
  <c r="I28" i="5" l="1"/>
  <c r="H28" i="5"/>
  <c r="G28" i="5"/>
  <c r="I26" i="5"/>
  <c r="H26" i="5"/>
  <c r="G26" i="5"/>
  <c r="I25" i="5"/>
  <c r="H25" i="5"/>
  <c r="G25" i="5"/>
  <c r="H24" i="5"/>
  <c r="G24" i="5"/>
  <c r="I16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G18" i="5"/>
  <c r="G16" i="5" s="1"/>
  <c r="H18" i="5"/>
  <c r="I18" i="5"/>
  <c r="I17" i="5"/>
  <c r="H16" i="5"/>
  <c r="I14" i="5"/>
  <c r="H14" i="5"/>
  <c r="G14" i="5"/>
  <c r="G13" i="5" s="1"/>
  <c r="H13" i="5"/>
  <c r="I13" i="5"/>
  <c r="I30" i="5"/>
  <c r="I29" i="5" l="1"/>
  <c r="I24" i="5"/>
</calcChain>
</file>

<file path=xl/sharedStrings.xml><?xml version="1.0" encoding="utf-8"?>
<sst xmlns="http://schemas.openxmlformats.org/spreadsheetml/2006/main" count="777" uniqueCount="700">
  <si>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</si>
  <si>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</si>
  <si>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</si>
  <si>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</si>
  <si>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</si>
  <si>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</si>
  <si>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</si>
  <si>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</si>
  <si>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</si>
  <si>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</si>
  <si>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</si>
  <si>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</si>
  <si>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</si>
  <si>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</si>
  <si>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</si>
  <si>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</si>
  <si>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</si>
  <si>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</si>
  <si>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</si>
  <si>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</si>
  <si>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</si>
  <si>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</si>
  <si>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</si>
  <si>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</si>
  <si>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</si>
  <si>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</si>
  <si>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</si>
  <si>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</si>
  <si>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</si>
  <si>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</si>
  <si>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</si>
  <si>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</si>
  <si>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</si>
  <si>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</si>
  <si>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</si>
  <si>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</si>
  <si>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</si>
  <si>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</si>
  <si>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</si>
  <si>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</si>
  <si>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</si>
  <si>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</si>
  <si>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</si>
  <si>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</si>
  <si>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</si>
  <si>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</si>
  <si>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</si>
  <si>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</si>
  <si>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</si>
  <si>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</si>
  <si>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</si>
  <si>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</si>
  <si>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</si>
  <si>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</si>
  <si>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</si>
  <si>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</si>
  <si>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</si>
  <si>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</si>
  <si>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</si>
  <si>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</si>
  <si>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</si>
  <si>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</si>
  <si>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</si>
  <si>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</si>
  <si>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</si>
  <si>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</si>
  <si>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</si>
  <si>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</si>
  <si>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</si>
  <si>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</si>
  <si>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</si>
  <si>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</si>
  <si>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</si>
  <si>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</si>
  <si>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</si>
  <si>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</si>
  <si>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</si>
  <si>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</si>
  <si>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</si>
  <si>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</si>
  <si>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</si>
  <si>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</si>
  <si>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</si>
  <si>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</si>
  <si>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</si>
  <si>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</si>
  <si>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</si>
  <si>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</si>
  <si>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</si>
  <si>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</si>
  <si>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</si>
  <si>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</si>
  <si>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</si>
  <si>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</si>
  <si>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</si>
  <si>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</si>
  <si>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</si>
  <si>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</si>
  <si>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</si>
  <si>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</si>
  <si>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</si>
  <si>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</si>
  <si>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</si>
  <si>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</si>
  <si>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</si>
  <si>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</si>
  <si>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</si>
  <si>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</si>
  <si>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</si>
  <si>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</si>
  <si>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</si>
  <si>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</si>
  <si>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</si>
  <si>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</si>
  <si>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</si>
  <si>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</si>
  <si>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</si>
  <si>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</si>
  <si>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</si>
  <si>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</si>
  <si>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</si>
  <si>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</si>
  <si>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</si>
  <si>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</si>
  <si>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</si>
  <si>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</si>
  <si>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</si>
  <si>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</si>
  <si>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</si>
  <si>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</si>
  <si>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</si>
  <si>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</si>
  <si>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</si>
  <si>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</si>
  <si>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</si>
  <si>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</si>
  <si>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</si>
  <si>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</si>
  <si>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</si>
  <si>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</si>
  <si>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</si>
  <si>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</si>
  <si>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</si>
  <si>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</si>
  <si>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</si>
  <si>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</si>
  <si>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</si>
  <si>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</si>
  <si>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</si>
  <si>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</si>
  <si>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</si>
  <si>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</si>
  <si>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</si>
  <si>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</si>
  <si>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</si>
  <si>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</si>
  <si>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</si>
  <si>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</si>
  <si>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</si>
  <si>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</si>
  <si>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</si>
  <si>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</si>
  <si>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</si>
  <si>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</si>
  <si>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</si>
  <si>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</si>
  <si>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</si>
  <si>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</si>
  <si>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</si>
  <si>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</si>
  <si>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</si>
  <si>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</si>
  <si>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</si>
  <si>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</si>
  <si>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</si>
  <si>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</si>
  <si>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</si>
  <si>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</si>
  <si>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</si>
  <si>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</si>
  <si>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</si>
  <si>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</si>
  <si>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</si>
  <si>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</si>
  <si>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</si>
  <si>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</si>
  <si>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</si>
  <si>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</si>
  <si>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</si>
  <si>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</si>
  <si>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</si>
  <si>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</si>
  <si>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</si>
  <si>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</si>
  <si>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</si>
  <si>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</si>
  <si>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</si>
  <si>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</si>
  <si>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</si>
  <si>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</si>
  <si>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</si>
  <si>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</si>
  <si>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</si>
  <si>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</si>
  <si>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</si>
  <si>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</si>
  <si>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</si>
  <si>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</si>
  <si>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</si>
  <si>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</si>
  <si>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</si>
  <si>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</si>
  <si>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</si>
  <si>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</si>
  <si>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</si>
  <si>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</si>
  <si>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</si>
  <si>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</si>
  <si>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</si>
  <si>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</si>
  <si>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</si>
  <si>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</si>
  <si>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</si>
  <si>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</si>
  <si>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</si>
  <si>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</si>
  <si>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</si>
  <si>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</si>
  <si>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</si>
  <si>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</si>
  <si>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</si>
  <si>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</si>
  <si>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</si>
  <si>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</si>
  <si>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</si>
  <si>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</si>
  <si>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</si>
  <si>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</si>
  <si>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</si>
  <si>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</si>
  <si>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</si>
  <si>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</si>
  <si>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</si>
  <si>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</si>
  <si>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</si>
  <si>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</si>
  <si>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</si>
  <si>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</si>
  <si>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</si>
  <si>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</si>
  <si>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</si>
  <si>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</si>
  <si>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</si>
  <si>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</si>
  <si>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</si>
  <si>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</si>
  <si>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</si>
  <si>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</si>
  <si>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</si>
  <si>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</si>
  <si>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</si>
  <si>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</si>
  <si>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</si>
  <si>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</si>
  <si>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</si>
  <si>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</si>
  <si>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</si>
  <si>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</si>
  <si>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</si>
  <si>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</si>
  <si>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</si>
  <si>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</si>
  <si>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</si>
  <si>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</si>
  <si>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</si>
  <si>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</si>
  <si>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</si>
  <si>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</si>
  <si>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</si>
  <si>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</si>
  <si>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</si>
  <si>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</si>
  <si>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</si>
  <si>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</si>
  <si>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</si>
  <si>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</si>
  <si>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</si>
  <si>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</si>
  <si>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</si>
  <si>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</si>
  <si>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</si>
  <si>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</si>
  <si>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</si>
  <si>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</si>
  <si>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</si>
  <si>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</si>
  <si>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</si>
  <si>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</si>
  <si>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</si>
  <si>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</si>
  <si>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</si>
  <si>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</si>
  <si>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</si>
  <si>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</si>
  <si>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</si>
  <si>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</si>
  <si>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</si>
  <si>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</si>
  <si>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</si>
  <si>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</si>
  <si>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</si>
  <si>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</si>
  <si>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</si>
  <si>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</si>
  <si>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</si>
  <si>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</si>
  <si>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</si>
  <si>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</si>
  <si>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</si>
  <si>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</si>
  <si>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</si>
  <si>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</si>
  <si>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</si>
  <si>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</si>
  <si>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</si>
  <si>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</si>
  <si>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</si>
  <si>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</si>
  <si>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</si>
  <si>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</si>
  <si>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</si>
  <si>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</si>
  <si>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</si>
  <si>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</si>
  <si>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</si>
  <si>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</si>
  <si>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</si>
  <si>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</si>
  <si>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</si>
  <si>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</si>
  <si>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</si>
  <si>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</si>
  <si>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</si>
  <si>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</si>
  <si>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</si>
  <si>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</si>
  <si>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</si>
  <si>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</si>
  <si>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</si>
  <si>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</si>
  <si>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</si>
  <si>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</si>
  <si>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</si>
  <si>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</si>
  <si>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</si>
  <si>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</si>
  <si>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</si>
  <si>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</si>
  <si>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</si>
  <si>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</si>
  <si>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</si>
  <si>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</si>
  <si>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</si>
  <si>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</si>
  <si>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</si>
  <si>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</si>
  <si>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</si>
  <si>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</si>
  <si>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</si>
  <si>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</si>
  <si>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</si>
  <si>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</si>
  <si>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</si>
  <si>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</si>
  <si>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</si>
  <si>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</si>
  <si>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</si>
  <si>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</si>
  <si>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</si>
  <si>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</si>
  <si>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</si>
  <si>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</si>
  <si>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</si>
  <si>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</si>
  <si>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</si>
  <si>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</si>
  <si>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</si>
  <si>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</si>
  <si>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</si>
  <si>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</si>
  <si>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</si>
  <si>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</si>
  <si>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</si>
  <si>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OBRA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</si>
  <si>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</si>
  <si>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</si>
  <si>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</si>
  <si>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</si>
  <si>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</si>
  <si>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</si>
  <si>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</si>
  <si>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</si>
  <si>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</si>
  <si>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</si>
  <si>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</si>
  <si>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</si>
  <si>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</si>
  <si>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</si>
  <si>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</si>
  <si>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</si>
  <si>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</si>
  <si>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</si>
  <si>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</si>
  <si>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</si>
  <si>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</si>
  <si>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</si>
  <si>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</si>
  <si>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</si>
  <si>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</si>
  <si>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</si>
  <si>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</si>
  <si>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</si>
  <si>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</si>
  <si>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</si>
  <si>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</si>
  <si>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</si>
  <si>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</si>
  <si>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</si>
  <si>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</si>
  <si>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</si>
  <si>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</si>
  <si>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</si>
  <si>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</si>
  <si>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</si>
  <si>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</si>
  <si>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</si>
  <si>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</si>
  <si>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</si>
  <si>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</si>
  <si>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</si>
  <si>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</si>
  <si>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</si>
  <si>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</si>
  <si>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</si>
  <si>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</si>
  <si>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</si>
  <si>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</si>
  <si>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</si>
  <si>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</si>
  <si>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</si>
  <si>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</si>
  <si>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</si>
  <si>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</si>
  <si>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</si>
  <si>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</si>
  <si>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</si>
  <si>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</si>
  <si>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</si>
  <si>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</si>
  <si>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</si>
  <si>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</si>
  <si>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</si>
  <si>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</si>
  <si>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</si>
  <si>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</si>
  <si>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</si>
  <si>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</si>
  <si>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</si>
  <si>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</si>
  <si>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</si>
  <si>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</si>
  <si>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</si>
  <si>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</si>
  <si>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</si>
  <si>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</si>
  <si>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</si>
  <si>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</si>
  <si>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</si>
  <si>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</si>
  <si>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</si>
  <si>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</si>
  <si>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</si>
  <si>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</si>
  <si>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</si>
  <si>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</si>
  <si>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</si>
  <si>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</si>
  <si>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</si>
  <si>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</si>
  <si>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</si>
  <si>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</si>
  <si>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</si>
  <si>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</si>
  <si>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</si>
  <si>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</si>
  <si>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</si>
  <si>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</si>
  <si>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</si>
  <si>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</si>
  <si>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</si>
  <si>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</si>
  <si>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</si>
  <si>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</si>
  <si>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</si>
  <si>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</si>
  <si>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</si>
  <si>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</si>
  <si>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</si>
  <si>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</si>
  <si>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</si>
  <si>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</si>
  <si>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</si>
  <si>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</si>
  <si>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</si>
  <si>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</si>
  <si>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</si>
  <si>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</si>
  <si>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</si>
  <si>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</si>
  <si>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</si>
  <si>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</si>
  <si>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</si>
  <si>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</si>
  <si>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</si>
  <si>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</si>
  <si>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</si>
  <si>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</si>
  <si>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</si>
  <si>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</si>
  <si>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</si>
  <si>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</si>
  <si>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</si>
  <si>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</si>
  <si>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</si>
  <si>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</si>
  <si>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</si>
  <si>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</si>
  <si>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</si>
  <si>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</si>
  <si>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</si>
  <si>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</si>
  <si>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</si>
  <si>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</si>
  <si>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</si>
  <si>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</si>
  <si>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</si>
  <si>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</si>
  <si>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</si>
  <si>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</si>
  <si>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</si>
  <si>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</si>
  <si>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</si>
  <si>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</si>
  <si>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</si>
  <si>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</si>
  <si>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</si>
  <si>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</si>
  <si>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</si>
  <si>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</si>
  <si>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</si>
  <si>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</si>
  <si>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</si>
  <si>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</si>
  <si>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</si>
  <si>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</si>
  <si>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</si>
  <si>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</si>
  <si>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</si>
  <si>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</si>
  <si>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</si>
  <si>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</si>
  <si>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</si>
  <si>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</si>
  <si>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</si>
  <si>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</si>
  <si>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</si>
  <si>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</si>
  <si>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</si>
  <si>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</si>
  <si>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</si>
  <si>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</si>
  <si>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</si>
  <si>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</si>
  <si>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</si>
  <si>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</si>
  <si>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</si>
  <si>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</si>
  <si>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</si>
  <si>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</si>
  <si>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</si>
  <si>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</si>
  <si>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</si>
  <si>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</si>
  <si>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</si>
  <si>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</si>
  <si>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</si>
  <si>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</si>
  <si>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</si>
  <si>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</si>
  <si>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</si>
  <si>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</si>
  <si>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</si>
  <si>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</si>
  <si>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</si>
  <si>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</si>
  <si>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</si>
  <si>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</si>
  <si>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</si>
  <si>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</si>
  <si>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</si>
  <si>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</si>
  <si>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</si>
  <si>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</si>
  <si>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</si>
  <si>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</si>
  <si>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</si>
  <si>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</si>
  <si>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</si>
  <si>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</si>
  <si>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</si>
  <si>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</si>
  <si>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</si>
  <si>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</si>
  <si>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</si>
  <si>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</si>
  <si>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</si>
  <si>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</si>
  <si>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</si>
  <si>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</si>
  <si>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</si>
  <si>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</si>
  <si>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</si>
  <si>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</si>
  <si>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</si>
  <si>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</si>
  <si>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</si>
  <si>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</si>
  <si>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</si>
  <si>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</si>
  <si>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</si>
  <si>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</si>
  <si>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</si>
  <si>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</si>
  <si>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</si>
  <si>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</si>
  <si>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</si>
  <si>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</si>
  <si>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</si>
  <si>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</si>
  <si>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</si>
  <si>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</si>
  <si>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</si>
  <si>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</si>
  <si>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</si>
  <si>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</si>
  <si>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</si>
  <si>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</si>
  <si>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</si>
  <si>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</si>
  <si>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</si>
  <si>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</si>
  <si>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</si>
  <si>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</si>
  <si>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</si>
  <si>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</si>
  <si>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</si>
  <si>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</si>
  <si>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</si>
  <si>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</si>
  <si>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</si>
  <si>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</si>
  <si>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</si>
  <si>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</si>
  <si>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</si>
  <si>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</si>
  <si>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</si>
  <si>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</si>
  <si>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</si>
  <si>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</si>
  <si>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</si>
  <si>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</si>
  <si>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</si>
  <si>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</si>
  <si>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</si>
  <si>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</si>
  <si>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</si>
  <si>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</si>
  <si>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</si>
  <si>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</si>
  <si>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</si>
  <si>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ABRIL</t>
  </si>
  <si>
    <t>MAYO</t>
  </si>
  <si>
    <t>Operaciones Ajenas Netas</t>
  </si>
  <si>
    <t>JULIO</t>
  </si>
  <si>
    <t>AGOSTO</t>
  </si>
  <si>
    <t>SEPTIEMBRE</t>
  </si>
  <si>
    <t>DICIEMBRE</t>
  </si>
  <si>
    <t>Diciembre 2017</t>
  </si>
  <si>
    <t>OCTUBRE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</si>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</sst>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  <numFmt numFmtId="179" formatCode="#,##0.0000000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rgb="FF6600FF"/>
      <name val="Calibri"/>
      <family val="2"/>
      <scheme val="minor"/>
    </font>
    <font>
      <b/>
      <sz val="9"/>
      <color indexed="2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1308E8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1308E8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11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12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32" borderId="0" applyNumberFormat="0" applyBorder="0" applyAlignment="0" applyProtection="0"/>
    <xf numFmtId="0" fontId="37" fillId="2" borderId="0" applyNumberFormat="0" applyBorder="0" applyAlignment="0" applyProtection="0"/>
    <xf numFmtId="0" fontId="38" fillId="6" borderId="4" applyNumberFormat="0" applyAlignment="0" applyProtection="0"/>
    <xf numFmtId="0" fontId="39" fillId="7" borderId="7" applyNumberFormat="0" applyAlignment="0" applyProtection="0"/>
    <xf numFmtId="0" fontId="40" fillId="0" borderId="6" applyNumberFormat="0" applyFill="0" applyAlignment="0" applyProtection="0"/>
    <xf numFmtId="43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42" fillId="5" borderId="4" applyNumberFormat="0" applyAlignment="0" applyProtection="0"/>
    <xf numFmtId="165" fontId="43" fillId="36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48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2" fillId="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5" fillId="6" borderId="5" applyNumberFormat="0" applyAlignment="0" applyProtection="0"/>
    <xf numFmtId="0" fontId="56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46" fillId="0" borderId="0" applyFon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41" fillId="0" borderId="3" applyNumberFormat="0" applyFill="0" applyAlignment="0" applyProtection="0"/>
    <xf numFmtId="0" fontId="61" fillId="0" borderId="9" applyNumberFormat="0" applyFill="0" applyAlignment="0" applyProtection="0"/>
    <xf numFmtId="44" fontId="1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</cellStyleXfs>
  <cellXfs count="239">
    <xf numFmtId="0" fontId="0" fillId="0" borderId="0" xfId="0"/>
    <xf numFmtId="4" fontId="17" fillId="0" borderId="10" xfId="0" applyNumberFormat="1" applyFont="1" applyFill="1" applyBorder="1" applyAlignment="1" applyProtection="1">
      <protection locked="0"/>
    </xf>
    <xf numFmtId="0" fontId="17" fillId="33" borderId="11" xfId="0" applyFont="1" applyFill="1" applyBorder="1" applyAlignment="1" applyProtection="1">
      <alignment horizontal="left"/>
    </xf>
    <xf numFmtId="0" fontId="17" fillId="33" borderId="12" xfId="0" applyFont="1" applyFill="1" applyBorder="1" applyAlignment="1" applyProtection="1">
      <alignment horizontal="left"/>
    </xf>
    <xf numFmtId="0" fontId="17" fillId="33" borderId="12" xfId="0" applyFont="1" applyFill="1" applyBorder="1" applyProtection="1"/>
    <xf numFmtId="0" fontId="18" fillId="33" borderId="12" xfId="0" applyFont="1" applyFill="1" applyBorder="1" applyAlignment="1" applyProtection="1">
      <alignment horizontal="left"/>
    </xf>
    <xf numFmtId="0" fontId="18" fillId="33" borderId="13" xfId="0" applyFont="1" applyFill="1" applyBorder="1" applyAlignment="1" applyProtection="1">
      <alignment horizontal="left"/>
    </xf>
    <xf numFmtId="0" fontId="18" fillId="33" borderId="10" xfId="0" applyFont="1" applyFill="1" applyBorder="1" applyAlignment="1" applyProtection="1">
      <alignment horizontal="center"/>
    </xf>
    <xf numFmtId="4" fontId="17" fillId="0" borderId="14" xfId="0" applyNumberFormat="1" applyFont="1" applyFill="1" applyBorder="1" applyAlignment="1" applyProtection="1">
      <protection locked="0"/>
    </xf>
    <xf numFmtId="0" fontId="17" fillId="33" borderId="15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/>
    </xf>
    <xf numFmtId="0" fontId="17" fillId="33" borderId="16" xfId="0" applyFont="1" applyFill="1" applyBorder="1" applyProtection="1"/>
    <xf numFmtId="0" fontId="18" fillId="33" borderId="16" xfId="0" applyFont="1" applyFill="1" applyBorder="1" applyAlignment="1" applyProtection="1">
      <alignment horizontal="left"/>
    </xf>
    <xf numFmtId="0" fontId="18" fillId="33" borderId="17" xfId="0" applyFont="1" applyFill="1" applyBorder="1" applyAlignment="1" applyProtection="1">
      <alignment horizontal="left"/>
    </xf>
    <xf numFmtId="0" fontId="18" fillId="33" borderId="14" xfId="0" applyFont="1" applyFill="1" applyBorder="1" applyAlignment="1" applyProtection="1">
      <alignment horizontal="center"/>
    </xf>
    <xf numFmtId="4" fontId="19" fillId="34" borderId="14" xfId="0" applyNumberFormat="1" applyFont="1" applyFill="1" applyBorder="1" applyAlignment="1" applyProtection="1"/>
    <xf numFmtId="0" fontId="17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Alignment="1" applyProtection="1">
      <alignment horizontal="left"/>
    </xf>
    <xf numFmtId="0" fontId="18" fillId="34" borderId="16" xfId="0" applyFont="1" applyFill="1" applyBorder="1" applyProtection="1"/>
    <xf numFmtId="0" fontId="18" fillId="34" borderId="17" xfId="0" applyFont="1" applyFill="1" applyBorder="1" applyAlignment="1" applyProtection="1">
      <alignment horizontal="left"/>
    </xf>
    <xf numFmtId="0" fontId="18" fillId="34" borderId="14" xfId="0" applyFont="1" applyFill="1" applyBorder="1" applyAlignment="1" applyProtection="1">
      <alignment horizontal="center"/>
    </xf>
    <xf numFmtId="4" fontId="17" fillId="33" borderId="14" xfId="0" applyNumberFormat="1" applyFont="1" applyFill="1" applyBorder="1" applyAlignment="1" applyProtection="1">
      <protection locked="0"/>
    </xf>
    <xf numFmtId="0" fontId="18" fillId="33" borderId="18" xfId="0" applyFont="1" applyFill="1" applyBorder="1" applyAlignment="1" applyProtection="1">
      <alignment horizontal="left"/>
    </xf>
    <xf numFmtId="0" fontId="17" fillId="33" borderId="17" xfId="0" applyFont="1" applyFill="1" applyBorder="1" applyAlignment="1" applyProtection="1">
      <alignment horizontal="left"/>
    </xf>
    <xf numFmtId="0" fontId="17" fillId="33" borderId="14" xfId="0" applyFont="1" applyFill="1" applyBorder="1" applyAlignment="1" applyProtection="1">
      <alignment horizontal="center"/>
    </xf>
    <xf numFmtId="4" fontId="18" fillId="34" borderId="14" xfId="0" applyNumberFormat="1" applyFont="1" applyFill="1" applyBorder="1" applyAlignment="1" applyProtection="1"/>
    <xf numFmtId="0" fontId="18" fillId="34" borderId="16" xfId="0" applyFont="1" applyFill="1" applyBorder="1" applyAlignment="1" applyProtection="1">
      <alignment horizontal="left"/>
    </xf>
    <xf numFmtId="0" fontId="18" fillId="34" borderId="18" xfId="0" applyFont="1" applyFill="1" applyBorder="1" applyAlignment="1" applyProtection="1">
      <alignment horizontal="left"/>
    </xf>
    <xf numFmtId="0" fontId="17" fillId="34" borderId="17" xfId="0" applyFont="1" applyFill="1" applyBorder="1" applyAlignment="1" applyProtection="1">
      <alignment horizontal="left"/>
    </xf>
    <xf numFmtId="0" fontId="20" fillId="33" borderId="17" xfId="0" applyFont="1" applyFill="1" applyBorder="1" applyAlignment="1" applyProtection="1">
      <alignment horizontal="left"/>
    </xf>
    <xf numFmtId="4" fontId="21" fillId="34" borderId="14" xfId="0" applyNumberFormat="1" applyFont="1" applyFill="1" applyBorder="1" applyAlignment="1" applyProtection="1"/>
    <xf numFmtId="0" fontId="22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Protection="1"/>
    <xf numFmtId="0" fontId="17" fillId="34" borderId="14" xfId="0" applyFont="1" applyFill="1" applyBorder="1" applyAlignment="1" applyProtection="1">
      <alignment horizontal="center"/>
    </xf>
    <xf numFmtId="4" fontId="23" fillId="34" borderId="14" xfId="0" applyNumberFormat="1" applyFont="1" applyFill="1" applyBorder="1" applyAlignment="1" applyProtection="1"/>
    <xf numFmtId="0" fontId="24" fillId="34" borderId="15" xfId="0" applyFont="1" applyFill="1" applyBorder="1" applyAlignment="1" applyProtection="1">
      <alignment horizontal="left"/>
    </xf>
    <xf numFmtId="0" fontId="24" fillId="34" borderId="16" xfId="0" applyFont="1" applyFill="1" applyBorder="1" applyAlignment="1" applyProtection="1">
      <alignment horizontal="left"/>
    </xf>
    <xf numFmtId="0" fontId="24" fillId="34" borderId="16" xfId="0" applyFont="1" applyFill="1" applyBorder="1" applyProtection="1"/>
    <xf numFmtId="0" fontId="17" fillId="34" borderId="16" xfId="0" applyFont="1" applyFill="1" applyBorder="1" applyAlignment="1" applyProtection="1"/>
    <xf numFmtId="0" fontId="24" fillId="34" borderId="17" xfId="0" applyFont="1" applyFill="1" applyBorder="1" applyAlignment="1" applyProtection="1">
      <alignment horizontal="left"/>
    </xf>
    <xf numFmtId="4" fontId="25" fillId="34" borderId="14" xfId="0" applyNumberFormat="1" applyFont="1" applyFill="1" applyBorder="1" applyAlignment="1" applyProtection="1"/>
    <xf numFmtId="0" fontId="25" fillId="34" borderId="15" xfId="0" applyFont="1" applyFill="1" applyBorder="1" applyAlignment="1" applyProtection="1">
      <alignment horizontal="left"/>
    </xf>
    <xf numFmtId="0" fontId="25" fillId="34" borderId="16" xfId="0" applyFont="1" applyFill="1" applyBorder="1" applyAlignment="1" applyProtection="1">
      <alignment horizontal="left"/>
    </xf>
    <xf numFmtId="0" fontId="26" fillId="34" borderId="16" xfId="0" applyFont="1" applyFill="1" applyBorder="1" applyProtection="1"/>
    <xf numFmtId="0" fontId="18" fillId="34" borderId="16" xfId="0" applyFont="1" applyFill="1" applyBorder="1" applyAlignment="1" applyProtection="1"/>
    <xf numFmtId="0" fontId="26" fillId="34" borderId="17" xfId="0" applyFont="1" applyFill="1" applyBorder="1" applyAlignment="1" applyProtection="1">
      <alignment horizontal="left"/>
    </xf>
    <xf numFmtId="0" fontId="25" fillId="34" borderId="16" xfId="0" applyFont="1" applyFill="1" applyBorder="1" applyProtection="1"/>
    <xf numFmtId="0" fontId="25" fillId="34" borderId="17" xfId="0" applyFont="1" applyFill="1" applyBorder="1" applyAlignment="1" applyProtection="1">
      <alignment horizontal="left"/>
    </xf>
    <xf numFmtId="0" fontId="27" fillId="33" borderId="16" xfId="0" applyFont="1" applyFill="1" applyBorder="1" applyAlignment="1" applyProtection="1">
      <alignment horizontal="left"/>
    </xf>
    <xf numFmtId="0" fontId="26" fillId="33" borderId="16" xfId="0" applyFont="1" applyFill="1" applyBorder="1" applyAlignment="1" applyProtection="1">
      <alignment horizontal="left"/>
    </xf>
    <xf numFmtId="0" fontId="24" fillId="33" borderId="17" xfId="0" applyFont="1" applyFill="1" applyBorder="1" applyAlignment="1" applyProtection="1">
      <alignment horizontal="left"/>
    </xf>
    <xf numFmtId="0" fontId="28" fillId="33" borderId="17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 indent="1"/>
    </xf>
    <xf numFmtId="0" fontId="17" fillId="34" borderId="16" xfId="0" applyFont="1" applyFill="1" applyBorder="1" applyAlignment="1" applyProtection="1">
      <alignment horizontal="left" indent="1"/>
    </xf>
    <xf numFmtId="0" fontId="17" fillId="33" borderId="15" xfId="0" applyFont="1" applyFill="1" applyBorder="1" applyAlignment="1" applyProtection="1">
      <alignment horizontal="left" indent="1"/>
    </xf>
    <xf numFmtId="0" fontId="17" fillId="33" borderId="17" xfId="0" applyFont="1" applyFill="1" applyBorder="1" applyProtection="1"/>
    <xf numFmtId="0" fontId="17" fillId="34" borderId="15" xfId="0" applyFont="1" applyFill="1" applyBorder="1" applyAlignment="1" applyProtection="1">
      <alignment horizontal="left" indent="1"/>
    </xf>
    <xf numFmtId="0" fontId="17" fillId="34" borderId="17" xfId="0" applyFont="1" applyFill="1" applyBorder="1" applyProtection="1"/>
    <xf numFmtId="4" fontId="19" fillId="34" borderId="14" xfId="0" applyNumberFormat="1" applyFont="1" applyFill="1" applyBorder="1" applyAlignment="1" applyProtection="1">
      <alignment horizontal="right"/>
    </xf>
    <xf numFmtId="0" fontId="29" fillId="34" borderId="16" xfId="0" applyFont="1" applyFill="1" applyBorder="1" applyAlignment="1" applyProtection="1">
      <alignment horizontal="left"/>
    </xf>
    <xf numFmtId="0" fontId="29" fillId="33" borderId="16" xfId="0" applyFont="1" applyFill="1" applyBorder="1" applyAlignment="1" applyProtection="1">
      <alignment horizontal="left"/>
    </xf>
    <xf numFmtId="0" fontId="30" fillId="33" borderId="16" xfId="0" applyFont="1" applyFill="1" applyBorder="1" applyProtection="1"/>
    <xf numFmtId="0" fontId="17" fillId="33" borderId="16" xfId="0" applyFont="1" applyFill="1" applyBorder="1" applyAlignment="1" applyProtection="1"/>
    <xf numFmtId="0" fontId="31" fillId="34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/>
    <xf numFmtId="0" fontId="32" fillId="34" borderId="16" xfId="0" applyFont="1" applyFill="1" applyBorder="1" applyProtection="1"/>
    <xf numFmtId="0" fontId="32" fillId="33" borderId="16" xfId="0" applyFont="1" applyFill="1" applyBorder="1" applyProtection="1"/>
    <xf numFmtId="0" fontId="30" fillId="34" borderId="16" xfId="0" applyFont="1" applyFill="1" applyBorder="1" applyProtection="1"/>
    <xf numFmtId="0" fontId="17" fillId="33" borderId="16" xfId="27" applyFont="1" applyFill="1" applyBorder="1" applyAlignment="1" applyProtection="1">
      <alignment horizontal="left"/>
    </xf>
    <xf numFmtId="0" fontId="28" fillId="34" borderId="17" xfId="0" applyFont="1" applyFill="1" applyBorder="1" applyAlignment="1" applyProtection="1">
      <alignment horizontal="left"/>
    </xf>
    <xf numFmtId="0" fontId="22" fillId="33" borderId="15" xfId="0" applyFont="1" applyFill="1" applyBorder="1" applyAlignment="1" applyProtection="1">
      <alignment horizontal="left"/>
    </xf>
    <xf numFmtId="0" fontId="33" fillId="33" borderId="15" xfId="0" applyFont="1" applyFill="1" applyBorder="1" applyAlignment="1" applyProtection="1">
      <alignment horizontal="left"/>
    </xf>
    <xf numFmtId="0" fontId="28" fillId="33" borderId="16" xfId="0" applyFont="1" applyFill="1" applyBorder="1" applyAlignment="1" applyProtection="1">
      <alignment horizontal="left"/>
    </xf>
    <xf numFmtId="0" fontId="33" fillId="34" borderId="15" xfId="0" applyFont="1" applyFill="1" applyBorder="1" applyAlignment="1" applyProtection="1">
      <alignment horizontal="left"/>
    </xf>
    <xf numFmtId="0" fontId="28" fillId="34" borderId="16" xfId="0" applyFont="1" applyFill="1" applyBorder="1" applyAlignment="1" applyProtection="1">
      <alignment horizontal="left"/>
    </xf>
    <xf numFmtId="0" fontId="17" fillId="33" borderId="18" xfId="0" applyFont="1" applyFill="1" applyBorder="1" applyProtection="1"/>
    <xf numFmtId="0" fontId="29" fillId="33" borderId="16" xfId="0" applyFont="1" applyFill="1" applyBorder="1" applyAlignment="1" applyProtection="1"/>
    <xf numFmtId="0" fontId="17" fillId="34" borderId="18" xfId="0" applyFont="1" applyFill="1" applyBorder="1" applyProtection="1"/>
    <xf numFmtId="0" fontId="22" fillId="33" borderId="16" xfId="0" applyFont="1" applyFill="1" applyBorder="1" applyAlignment="1" applyProtection="1">
      <alignment horizontal="left"/>
    </xf>
    <xf numFmtId="0" fontId="17" fillId="33" borderId="19" xfId="0" applyFont="1" applyFill="1" applyBorder="1" applyProtection="1"/>
    <xf numFmtId="0" fontId="17" fillId="33" borderId="20" xfId="0" applyFont="1" applyFill="1" applyBorder="1" applyProtection="1"/>
    <xf numFmtId="0" fontId="17" fillId="33" borderId="20" xfId="0" applyFont="1" applyFill="1" applyBorder="1" applyAlignment="1" applyProtection="1"/>
    <xf numFmtId="0" fontId="22" fillId="34" borderId="16" xfId="0" applyFont="1" applyFill="1" applyBorder="1" applyAlignment="1" applyProtection="1">
      <alignment horizontal="left"/>
    </xf>
    <xf numFmtId="0" fontId="17" fillId="33" borderId="15" xfId="0" applyFont="1" applyFill="1" applyBorder="1" applyAlignment="1" applyProtection="1"/>
    <xf numFmtId="0" fontId="23" fillId="33" borderId="16" xfId="0" applyFont="1" applyFill="1" applyBorder="1" applyProtection="1"/>
    <xf numFmtId="0" fontId="17" fillId="33" borderId="17" xfId="0" applyFont="1" applyFill="1" applyBorder="1" applyAlignment="1" applyProtection="1">
      <alignment horizontal="left" indent="1"/>
    </xf>
    <xf numFmtId="0" fontId="33" fillId="33" borderId="16" xfId="0" applyFont="1" applyFill="1" applyBorder="1" applyAlignment="1" applyProtection="1">
      <alignment horizontal="left"/>
    </xf>
    <xf numFmtId="4" fontId="17" fillId="34" borderId="14" xfId="0" applyNumberFormat="1" applyFont="1" applyFill="1" applyBorder="1" applyAlignment="1" applyProtection="1"/>
    <xf numFmtId="0" fontId="33" fillId="34" borderId="16" xfId="0" applyFont="1" applyFill="1" applyBorder="1" applyAlignment="1" applyProtection="1">
      <alignment horizontal="left"/>
    </xf>
    <xf numFmtId="0" fontId="24" fillId="33" borderId="15" xfId="0" applyFont="1" applyFill="1" applyBorder="1" applyAlignment="1" applyProtection="1">
      <alignment horizontal="left"/>
    </xf>
    <xf numFmtId="0" fontId="24" fillId="33" borderId="16" xfId="0" applyFont="1" applyFill="1" applyBorder="1" applyAlignment="1" applyProtection="1">
      <alignment horizontal="left"/>
    </xf>
    <xf numFmtId="2" fontId="23" fillId="34" borderId="14" xfId="0" applyNumberFormat="1" applyFont="1" applyFill="1" applyBorder="1" applyAlignment="1" applyProtection="1">
      <alignment horizontal="right"/>
    </xf>
    <xf numFmtId="0" fontId="17" fillId="33" borderId="21" xfId="0" applyFont="1" applyFill="1" applyBorder="1" applyAlignment="1" applyProtection="1">
      <alignment horizontal="left"/>
    </xf>
    <xf numFmtId="0" fontId="17" fillId="34" borderId="21" xfId="0" applyFont="1" applyFill="1" applyBorder="1" applyAlignment="1" applyProtection="1">
      <alignment horizontal="left"/>
    </xf>
    <xf numFmtId="0" fontId="17" fillId="34" borderId="16" xfId="27" applyFont="1" applyFill="1" applyBorder="1" applyAlignment="1" applyProtection="1">
      <alignment horizontal="left"/>
    </xf>
    <xf numFmtId="0" fontId="22" fillId="34" borderId="21" xfId="0" applyFont="1" applyFill="1" applyBorder="1" applyAlignment="1" applyProtection="1">
      <alignment horizontal="left"/>
    </xf>
    <xf numFmtId="0" fontId="22" fillId="33" borderId="21" xfId="0" applyFont="1" applyFill="1" applyBorder="1" applyAlignment="1" applyProtection="1">
      <alignment horizontal="left"/>
    </xf>
    <xf numFmtId="0" fontId="17" fillId="33" borderId="16" xfId="0" quotePrefix="1" applyFont="1" applyFill="1" applyBorder="1" applyAlignment="1" applyProtection="1">
      <alignment horizontal="left"/>
    </xf>
    <xf numFmtId="0" fontId="18" fillId="34" borderId="15" xfId="0" applyFont="1" applyFill="1" applyBorder="1" applyAlignment="1" applyProtection="1">
      <alignment horizontal="left"/>
    </xf>
    <xf numFmtId="4" fontId="19" fillId="34" borderId="22" xfId="0" applyNumberFormat="1" applyFont="1" applyFill="1" applyBorder="1" applyAlignment="1" applyProtection="1"/>
    <xf numFmtId="0" fontId="18" fillId="34" borderId="23" xfId="0" applyFont="1" applyFill="1" applyBorder="1" applyAlignment="1" applyProtection="1">
      <alignment horizontal="left"/>
    </xf>
    <xf numFmtId="0" fontId="18" fillId="34" borderId="24" xfId="0" applyFont="1" applyFill="1" applyBorder="1" applyAlignment="1" applyProtection="1">
      <alignment horizontal="left"/>
    </xf>
    <xf numFmtId="0" fontId="18" fillId="34" borderId="25" xfId="0" applyFont="1" applyFill="1" applyBorder="1" applyAlignment="1" applyProtection="1">
      <alignment horizontal="left"/>
    </xf>
    <xf numFmtId="0" fontId="18" fillId="34" borderId="26" xfId="0" applyFont="1" applyFill="1" applyBorder="1" applyAlignment="1" applyProtection="1">
      <alignment horizontal="center"/>
    </xf>
    <xf numFmtId="0" fontId="34" fillId="35" borderId="27" xfId="0" applyFont="1" applyFill="1" applyBorder="1" applyAlignment="1" applyProtection="1">
      <alignment horizontal="center" vertical="center" wrapText="1"/>
    </xf>
    <xf numFmtId="0" fontId="18" fillId="35" borderId="27" xfId="0" applyFont="1" applyFill="1" applyBorder="1" applyAlignment="1" applyProtection="1">
      <alignment horizontal="center" vertical="center"/>
    </xf>
    <xf numFmtId="172" fontId="62" fillId="0" borderId="0" xfId="2118" applyNumberFormat="1" applyFont="1" applyBorder="1" applyAlignment="1">
      <alignment vertical="top"/>
    </xf>
    <xf numFmtId="172" fontId="63" fillId="0" borderId="0" xfId="2118" applyNumberFormat="1" applyFont="1" applyBorder="1" applyAlignment="1">
      <alignment vertical="top" wrapText="1"/>
    </xf>
    <xf numFmtId="0" fontId="62" fillId="0" borderId="0" xfId="2118" applyFont="1" applyBorder="1" applyAlignment="1">
      <alignment vertical="top"/>
    </xf>
    <xf numFmtId="171" fontId="70" fillId="0" borderId="0" xfId="415" quotePrefix="1" applyNumberFormat="1" applyFont="1" applyFill="1" applyBorder="1" applyAlignment="1">
      <alignment horizontal="right"/>
    </xf>
    <xf numFmtId="171" fontId="64" fillId="0" borderId="0" xfId="415" applyNumberFormat="1" applyFont="1" applyAlignment="1">
      <alignment horizontal="centerContinuous"/>
    </xf>
    <xf numFmtId="171" fontId="62" fillId="0" borderId="0" xfId="415" applyNumberFormat="1" applyFont="1" applyAlignment="1">
      <alignment horizontal="centerContinuous"/>
    </xf>
    <xf numFmtId="171" fontId="62" fillId="0" borderId="0" xfId="415" applyNumberFormat="1" applyFont="1"/>
    <xf numFmtId="171" fontId="63" fillId="0" borderId="0" xfId="415" applyNumberFormat="1" applyFont="1" applyAlignment="1" applyProtection="1">
      <alignment horizontal="centerContinuous"/>
    </xf>
    <xf numFmtId="171" fontId="62" fillId="0" borderId="0" xfId="415" applyNumberFormat="1" applyFont="1" applyBorder="1"/>
    <xf numFmtId="172" fontId="62" fillId="0" borderId="31" xfId="0" applyNumberFormat="1" applyFont="1" applyBorder="1" applyAlignment="1">
      <alignment vertical="top"/>
    </xf>
    <xf numFmtId="171" fontId="62" fillId="0" borderId="31" xfId="415" applyNumberFormat="1" applyFont="1" applyBorder="1" applyAlignment="1">
      <alignment wrapText="1"/>
    </xf>
    <xf numFmtId="171" fontId="63" fillId="0" borderId="31" xfId="415" applyNumberFormat="1" applyFont="1" applyBorder="1" applyAlignment="1">
      <alignment horizontal="right"/>
    </xf>
    <xf numFmtId="0" fontId="62" fillId="0" borderId="0" xfId="0" applyFont="1" applyAlignment="1">
      <alignment vertical="top"/>
    </xf>
    <xf numFmtId="171" fontId="66" fillId="37" borderId="0" xfId="415" applyNumberFormat="1" applyFont="1" applyFill="1" applyBorder="1" applyAlignment="1">
      <alignment horizontal="right"/>
    </xf>
    <xf numFmtId="171" fontId="66" fillId="37" borderId="0" xfId="415" quotePrefix="1" applyNumberFormat="1" applyFont="1" applyFill="1" applyBorder="1" applyAlignment="1">
      <alignment horizontal="right"/>
    </xf>
    <xf numFmtId="171" fontId="67" fillId="37" borderId="0" xfId="415" quotePrefix="1" applyNumberFormat="1" applyFont="1" applyFill="1" applyBorder="1" applyAlignment="1">
      <alignment horizontal="right"/>
    </xf>
    <xf numFmtId="0" fontId="68" fillId="0" borderId="0" xfId="0" applyFont="1" applyAlignment="1">
      <alignment vertical="top"/>
    </xf>
    <xf numFmtId="172" fontId="62" fillId="0" borderId="32" xfId="0" applyNumberFormat="1" applyFont="1" applyBorder="1" applyAlignment="1">
      <alignment vertical="top"/>
    </xf>
    <xf numFmtId="171" fontId="62" fillId="0" borderId="32" xfId="415" applyNumberFormat="1" applyFont="1" applyBorder="1" applyAlignment="1">
      <alignment wrapText="1"/>
    </xf>
    <xf numFmtId="171" fontId="63" fillId="0" borderId="32" xfId="415" quotePrefix="1" applyNumberFormat="1" applyFont="1" applyBorder="1" applyAlignment="1">
      <alignment horizontal="right"/>
    </xf>
    <xf numFmtId="172" fontId="62" fillId="0" borderId="0" xfId="0" applyNumberFormat="1" applyFont="1" applyAlignment="1">
      <alignment vertical="top"/>
    </xf>
    <xf numFmtId="171" fontId="63" fillId="0" borderId="0" xfId="415" quotePrefix="1" applyNumberFormat="1" applyFont="1" applyBorder="1" applyAlignment="1">
      <alignment horizontal="right"/>
    </xf>
    <xf numFmtId="171" fontId="69" fillId="38" borderId="0" xfId="415" applyNumberFormat="1" applyFont="1" applyFill="1" applyBorder="1" applyAlignment="1">
      <alignment horizontal="left" vertical="top"/>
    </xf>
    <xf numFmtId="171" fontId="70" fillId="0" borderId="0" xfId="415" applyNumberFormat="1" applyFont="1" applyFill="1"/>
    <xf numFmtId="175" fontId="70" fillId="0" borderId="0" xfId="0" applyNumberFormat="1" applyFont="1" applyFill="1" applyAlignment="1">
      <alignment vertical="top"/>
    </xf>
    <xf numFmtId="0" fontId="70" fillId="0" borderId="0" xfId="0" applyFont="1" applyFill="1" applyAlignment="1">
      <alignment vertical="top"/>
    </xf>
    <xf numFmtId="171" fontId="62" fillId="0" borderId="33" xfId="415" applyNumberFormat="1" applyFont="1" applyFill="1" applyBorder="1" applyAlignment="1">
      <alignment horizontal="left" vertical="center" wrapText="1" indent="1"/>
    </xf>
    <xf numFmtId="172" fontId="62" fillId="0" borderId="0" xfId="415" applyNumberFormat="1" applyFont="1" applyFill="1" applyAlignment="1">
      <alignment vertical="top" wrapText="1"/>
    </xf>
    <xf numFmtId="171" fontId="62" fillId="0" borderId="19" xfId="415" applyNumberFormat="1" applyFont="1" applyFill="1" applyBorder="1" applyAlignment="1">
      <alignment horizontal="left" vertical="center" wrapText="1" indent="1"/>
    </xf>
    <xf numFmtId="171" fontId="71" fillId="0" borderId="0" xfId="415" quotePrefix="1" applyNumberFormat="1" applyFont="1" applyFill="1" applyBorder="1" applyAlignment="1">
      <alignment horizontal="right"/>
    </xf>
    <xf numFmtId="0" fontId="68" fillId="0" borderId="0" xfId="0" applyFont="1" applyFill="1" applyAlignment="1">
      <alignment vertical="top"/>
    </xf>
    <xf numFmtId="171" fontId="65" fillId="39" borderId="0" xfId="415" applyNumberFormat="1" applyFont="1" applyFill="1" applyBorder="1" applyAlignment="1">
      <alignment horizontal="left" vertical="top"/>
    </xf>
    <xf numFmtId="172" fontId="72" fillId="0" borderId="0" xfId="0" applyNumberFormat="1" applyFont="1" applyFill="1" applyAlignment="1">
      <alignment vertical="top"/>
    </xf>
    <xf numFmtId="171" fontId="72" fillId="0" borderId="0" xfId="415" applyNumberFormat="1" applyFont="1" applyFill="1" applyBorder="1" applyAlignment="1">
      <alignment wrapText="1"/>
    </xf>
    <xf numFmtId="171" fontId="73" fillId="0" borderId="0" xfId="415" quotePrefix="1" applyNumberFormat="1" applyFont="1" applyFill="1" applyBorder="1" applyAlignment="1">
      <alignment horizontal="right"/>
    </xf>
    <xf numFmtId="0" fontId="72" fillId="0" borderId="0" xfId="0" applyFont="1" applyFill="1" applyAlignment="1">
      <alignment vertical="top"/>
    </xf>
    <xf numFmtId="172" fontId="70" fillId="38" borderId="0" xfId="415" applyNumberFormat="1" applyFont="1" applyFill="1" applyBorder="1" applyAlignment="1">
      <alignment vertical="top" wrapText="1"/>
    </xf>
    <xf numFmtId="171" fontId="62" fillId="0" borderId="0" xfId="415" applyNumberFormat="1" applyFont="1" applyFill="1"/>
    <xf numFmtId="175" fontId="62" fillId="0" borderId="0" xfId="0" applyNumberFormat="1" applyFont="1" applyFill="1" applyAlignment="1">
      <alignment vertical="top"/>
    </xf>
    <xf numFmtId="0" fontId="62" fillId="0" borderId="0" xfId="0" applyFont="1" applyFill="1" applyAlignment="1">
      <alignment vertical="top"/>
    </xf>
    <xf numFmtId="172" fontId="62" fillId="38" borderId="0" xfId="415" applyNumberFormat="1" applyFont="1" applyFill="1" applyAlignment="1">
      <alignment vertical="top" wrapText="1"/>
    </xf>
    <xf numFmtId="174" fontId="65" fillId="38" borderId="0" xfId="415" applyNumberFormat="1" applyFont="1" applyFill="1" applyBorder="1"/>
    <xf numFmtId="171" fontId="62" fillId="0" borderId="33" xfId="415" applyNumberFormat="1" applyFont="1" applyFill="1" applyBorder="1" applyAlignment="1">
      <alignment horizontal="left" vertical="top" wrapText="1" indent="1"/>
    </xf>
    <xf numFmtId="172" fontId="68" fillId="0" borderId="0" xfId="0" applyNumberFormat="1" applyFont="1" applyAlignment="1">
      <alignment vertical="top"/>
    </xf>
    <xf numFmtId="171" fontId="65" fillId="38" borderId="0" xfId="415" applyNumberFormat="1" applyFont="1" applyFill="1" applyBorder="1" applyAlignment="1">
      <alignment vertical="top" wrapText="1"/>
    </xf>
    <xf numFmtId="174" fontId="65" fillId="38" borderId="0" xfId="415" applyNumberFormat="1" applyFont="1" applyFill="1" applyBorder="1" applyAlignment="1">
      <alignment horizontal="center"/>
    </xf>
    <xf numFmtId="9" fontId="69" fillId="38" borderId="0" xfId="415" applyNumberFormat="1" applyFont="1" applyFill="1" applyBorder="1" applyAlignment="1">
      <alignment horizontal="center"/>
    </xf>
    <xf numFmtId="174" fontId="69" fillId="38" borderId="0" xfId="415" applyNumberFormat="1" applyFont="1" applyFill="1" applyBorder="1" applyAlignment="1">
      <alignment horizontal="center"/>
    </xf>
    <xf numFmtId="172" fontId="74" fillId="0" borderId="0" xfId="0" applyNumberFormat="1" applyFont="1" applyBorder="1" applyAlignment="1">
      <alignment vertical="top"/>
    </xf>
    <xf numFmtId="0" fontId="74" fillId="0" borderId="0" xfId="0" applyFont="1" applyBorder="1" applyAlignment="1">
      <alignment vertical="top"/>
    </xf>
    <xf numFmtId="0" fontId="74" fillId="0" borderId="0" xfId="0" applyFont="1" applyAlignment="1">
      <alignment vertical="top"/>
    </xf>
    <xf numFmtId="173" fontId="67" fillId="37" borderId="36" xfId="415" applyNumberFormat="1" applyFont="1" applyFill="1" applyBorder="1" applyAlignment="1">
      <alignment horizontal="center" vertical="center" wrapText="1"/>
    </xf>
    <xf numFmtId="171" fontId="67" fillId="37" borderId="37" xfId="415" applyNumberFormat="1" applyFont="1" applyFill="1" applyBorder="1" applyAlignment="1">
      <alignment horizontal="center"/>
    </xf>
    <xf numFmtId="171" fontId="67" fillId="37" borderId="38" xfId="415" applyNumberFormat="1" applyFont="1" applyFill="1" applyBorder="1" applyAlignment="1">
      <alignment horizontal="center"/>
    </xf>
    <xf numFmtId="174" fontId="72" fillId="0" borderId="0" xfId="415" quotePrefix="1" applyNumberFormat="1" applyFont="1" applyFill="1" applyBorder="1" applyAlignment="1" applyProtection="1"/>
    <xf numFmtId="176" fontId="62" fillId="0" borderId="0" xfId="0" applyNumberFormat="1" applyFont="1" applyFill="1" applyAlignment="1">
      <alignment vertical="top"/>
    </xf>
    <xf numFmtId="177" fontId="62" fillId="0" borderId="0" xfId="1927" applyNumberFormat="1" applyFont="1" applyFill="1" applyAlignment="1">
      <alignment vertical="top"/>
    </xf>
    <xf numFmtId="174" fontId="70" fillId="0" borderId="33" xfId="415" applyNumberFormat="1" applyFont="1" applyFill="1" applyBorder="1" applyAlignment="1" applyProtection="1"/>
    <xf numFmtId="174" fontId="70" fillId="0" borderId="19" xfId="415" applyNumberFormat="1" applyFont="1" applyFill="1" applyBorder="1" applyAlignment="1" applyProtection="1"/>
    <xf numFmtId="171" fontId="63" fillId="0" borderId="31" xfId="415" quotePrefix="1" applyNumberFormat="1" applyFont="1" applyBorder="1" applyAlignment="1">
      <alignment horizontal="right"/>
    </xf>
    <xf numFmtId="171" fontId="69" fillId="38" borderId="33" xfId="415" applyNumberFormat="1" applyFont="1" applyFill="1" applyBorder="1" applyAlignment="1">
      <alignment horizontal="left" vertical="top" wrapText="1"/>
    </xf>
    <xf numFmtId="174" fontId="69" fillId="38" borderId="33" xfId="415" applyNumberFormat="1" applyFont="1" applyFill="1" applyBorder="1" applyAlignment="1" applyProtection="1"/>
    <xf numFmtId="171" fontId="69" fillId="38" borderId="33" xfId="415" applyNumberFormat="1" applyFont="1" applyFill="1" applyBorder="1" applyAlignment="1">
      <alignment vertical="top" wrapText="1"/>
    </xf>
    <xf numFmtId="43" fontId="62" fillId="0" borderId="0" xfId="0" applyNumberFormat="1" applyFont="1" applyFill="1" applyAlignment="1">
      <alignment vertical="top"/>
    </xf>
    <xf numFmtId="174" fontId="69" fillId="38" borderId="19" xfId="415" applyNumberFormat="1" applyFont="1" applyFill="1" applyBorder="1" applyAlignment="1" applyProtection="1"/>
    <xf numFmtId="174" fontId="70" fillId="0" borderId="0" xfId="415" applyNumberFormat="1" applyFont="1" applyFill="1" applyBorder="1" applyAlignment="1" applyProtection="1"/>
    <xf numFmtId="171" fontId="69" fillId="39" borderId="19" xfId="415" applyNumberFormat="1" applyFont="1" applyFill="1" applyBorder="1" applyAlignment="1">
      <alignment horizontal="left" vertical="top" wrapText="1"/>
    </xf>
    <xf numFmtId="174" fontId="69" fillId="39" borderId="19" xfId="415" applyNumberFormat="1" applyFont="1" applyFill="1" applyBorder="1" applyAlignment="1" applyProtection="1"/>
    <xf numFmtId="43" fontId="70" fillId="0" borderId="0" xfId="0" applyNumberFormat="1" applyFont="1" applyFill="1" applyAlignment="1">
      <alignment vertical="top"/>
    </xf>
    <xf numFmtId="43" fontId="74" fillId="0" borderId="0" xfId="0" applyNumberFormat="1" applyFont="1" applyAlignment="1">
      <alignment vertical="top"/>
    </xf>
    <xf numFmtId="43" fontId="68" fillId="0" borderId="0" xfId="0" applyNumberFormat="1" applyFont="1" applyFill="1" applyAlignment="1">
      <alignment vertical="top"/>
    </xf>
    <xf numFmtId="178" fontId="69" fillId="38" borderId="33" xfId="415" applyNumberFormat="1" applyFont="1" applyFill="1" applyBorder="1" applyProtection="1"/>
    <xf numFmtId="178" fontId="69" fillId="38" borderId="33" xfId="415" applyNumberFormat="1" applyFont="1" applyFill="1" applyBorder="1" applyAlignment="1" applyProtection="1"/>
    <xf numFmtId="178" fontId="70" fillId="0" borderId="19" xfId="415" applyNumberFormat="1" applyFont="1" applyFill="1" applyBorder="1" applyAlignment="1" applyProtection="1"/>
    <xf numFmtId="178" fontId="70" fillId="0" borderId="19" xfId="415" applyNumberFormat="1" applyFont="1" applyFill="1" applyBorder="1" applyProtection="1">
      <protection locked="0"/>
    </xf>
    <xf numFmtId="178" fontId="70" fillId="0" borderId="33" xfId="415" applyNumberFormat="1" applyFont="1" applyFill="1" applyBorder="1" applyAlignment="1" applyProtection="1"/>
    <xf numFmtId="178" fontId="70" fillId="0" borderId="0" xfId="415" applyNumberFormat="1" applyFont="1" applyFill="1" applyBorder="1" applyAlignment="1" applyProtection="1"/>
    <xf numFmtId="178" fontId="69" fillId="39" borderId="19" xfId="415" applyNumberFormat="1" applyFont="1" applyFill="1" applyBorder="1" applyAlignment="1" applyProtection="1"/>
    <xf numFmtId="178" fontId="72" fillId="0" borderId="0" xfId="415" quotePrefix="1" applyNumberFormat="1" applyFont="1" applyFill="1" applyBorder="1" applyAlignment="1">
      <alignment horizontal="right"/>
    </xf>
    <xf numFmtId="178" fontId="72" fillId="0" borderId="0" xfId="415" quotePrefix="1" applyNumberFormat="1" applyFont="1" applyFill="1" applyBorder="1" applyAlignment="1" applyProtection="1">
      <alignment horizontal="right"/>
    </xf>
    <xf numFmtId="178" fontId="70" fillId="0" borderId="33" xfId="415" applyNumberFormat="1" applyFont="1" applyFill="1" applyBorder="1" applyAlignment="1" applyProtection="1">
      <protection locked="0"/>
    </xf>
    <xf numFmtId="178" fontId="65" fillId="38" borderId="33" xfId="415" applyNumberFormat="1" applyFont="1" applyFill="1" applyBorder="1"/>
    <xf numFmtId="178" fontId="69" fillId="38" borderId="19" xfId="415" applyNumberFormat="1" applyFont="1" applyFill="1" applyBorder="1" applyAlignment="1"/>
    <xf numFmtId="178" fontId="70" fillId="0" borderId="33" xfId="415" applyNumberFormat="1" applyFont="1" applyFill="1" applyBorder="1"/>
    <xf numFmtId="178" fontId="70" fillId="0" borderId="19" xfId="415" applyNumberFormat="1" applyFont="1" applyFill="1" applyBorder="1" applyAlignment="1" applyProtection="1">
      <alignment horizontal="right"/>
      <protection locked="0"/>
    </xf>
    <xf numFmtId="171" fontId="63" fillId="0" borderId="31" xfId="415" quotePrefix="1" applyNumberFormat="1" applyFont="1" applyBorder="1" applyAlignment="1"/>
    <xf numFmtId="178" fontId="70" fillId="0" borderId="19" xfId="415" applyNumberFormat="1" applyFont="1" applyFill="1" applyBorder="1" applyAlignment="1" applyProtection="1">
      <protection locked="0"/>
    </xf>
    <xf numFmtId="178" fontId="72" fillId="0" borderId="0" xfId="415" quotePrefix="1" applyNumberFormat="1" applyFont="1" applyFill="1" applyBorder="1" applyAlignment="1"/>
    <xf numFmtId="178" fontId="65" fillId="38" borderId="19" xfId="415" applyNumberFormat="1" applyFont="1" applyFill="1" applyBorder="1" applyAlignment="1"/>
    <xf numFmtId="178" fontId="70" fillId="0" borderId="33" xfId="415" applyNumberFormat="1" applyFont="1" applyFill="1" applyBorder="1" applyAlignment="1"/>
    <xf numFmtId="178" fontId="70" fillId="0" borderId="0" xfId="415" quotePrefix="1" applyNumberFormat="1" applyFont="1" applyFill="1" applyBorder="1" applyAlignment="1">
      <alignment horizontal="right"/>
    </xf>
    <xf numFmtId="4" fontId="74" fillId="0" borderId="0" xfId="0" applyNumberFormat="1" applyFont="1" applyBorder="1" applyAlignment="1">
      <alignment vertical="top"/>
    </xf>
    <xf numFmtId="171" fontId="62" fillId="0" borderId="34" xfId="415" applyNumberFormat="1" applyFont="1" applyFill="1" applyBorder="1" applyAlignment="1">
      <alignment horizontal="left" vertical="center" wrapText="1" indent="1"/>
    </xf>
    <xf numFmtId="178" fontId="70" fillId="0" borderId="19" xfId="415" applyNumberFormat="1" applyFont="1" applyFill="1" applyBorder="1"/>
    <xf numFmtId="0" fontId="62" fillId="0" borderId="0" xfId="0" applyFont="1" applyBorder="1" applyAlignment="1">
      <alignment vertical="top"/>
    </xf>
    <xf numFmtId="172" fontId="62" fillId="0" borderId="0" xfId="0" applyNumberFormat="1" applyFont="1" applyBorder="1" applyAlignment="1">
      <alignment vertical="top"/>
    </xf>
    <xf numFmtId="0" fontId="68" fillId="0" borderId="0" xfId="0" applyFont="1" applyBorder="1" applyAlignment="1">
      <alignment vertical="top"/>
    </xf>
    <xf numFmtId="171" fontId="65" fillId="38" borderId="19" xfId="415" applyNumberFormat="1" applyFont="1" applyFill="1" applyBorder="1" applyAlignment="1">
      <alignment vertical="top" wrapText="1"/>
    </xf>
    <xf numFmtId="174" fontId="65" fillId="38" borderId="19" xfId="415" applyNumberFormat="1" applyFont="1" applyFill="1" applyBorder="1"/>
    <xf numFmtId="174" fontId="65" fillId="38" borderId="19" xfId="415" applyNumberFormat="1" applyFont="1" applyFill="1" applyBorder="1" applyAlignment="1">
      <alignment horizontal="center"/>
    </xf>
    <xf numFmtId="9" fontId="69" fillId="38" borderId="19" xfId="415" applyNumberFormat="1" applyFont="1" applyFill="1" applyBorder="1" applyAlignment="1">
      <alignment horizontal="center"/>
    </xf>
    <xf numFmtId="174" fontId="69" fillId="38" borderId="19" xfId="415" applyNumberFormat="1" applyFont="1" applyFill="1" applyBorder="1" applyAlignment="1">
      <alignment horizontal="center"/>
    </xf>
    <xf numFmtId="178" fontId="62" fillId="0" borderId="0" xfId="0" applyNumberFormat="1" applyFont="1" applyFill="1" applyAlignment="1">
      <alignment vertical="top"/>
    </xf>
    <xf numFmtId="171" fontId="62" fillId="0" borderId="0" xfId="415" applyNumberFormat="1" applyFont="1" applyFill="1" applyBorder="1" applyAlignment="1">
      <alignment horizontal="left" vertical="center" wrapText="1" indent="1"/>
    </xf>
    <xf numFmtId="178" fontId="70" fillId="0" borderId="0" xfId="415" applyNumberFormat="1" applyFont="1" applyFill="1" applyBorder="1" applyProtection="1">
      <protection locked="0"/>
    </xf>
    <xf numFmtId="178" fontId="70" fillId="0" borderId="0" xfId="415" applyNumberFormat="1" applyFont="1" applyFill="1" applyBorder="1" applyAlignment="1" applyProtection="1">
      <protection locked="0"/>
    </xf>
    <xf numFmtId="178" fontId="69" fillId="39" borderId="34" xfId="415" applyNumberFormat="1" applyFont="1" applyFill="1" applyBorder="1" applyAlignment="1" applyProtection="1"/>
    <xf numFmtId="171" fontId="63" fillId="0" borderId="46" xfId="415" quotePrefix="1" applyNumberFormat="1" applyFont="1" applyBorder="1" applyAlignment="1">
      <alignment horizontal="right"/>
    </xf>
    <xf numFmtId="179" fontId="62" fillId="0" borderId="0" xfId="0" applyNumberFormat="1" applyFont="1" applyFill="1" applyAlignment="1">
      <alignment vertical="top"/>
    </xf>
    <xf numFmtId="171" fontId="67" fillId="37" borderId="35" xfId="415" applyNumberFormat="1" applyFont="1" applyFill="1" applyBorder="1" applyAlignment="1">
      <alignment horizontal="center" vertical="center"/>
    </xf>
    <xf numFmtId="171" fontId="67" fillId="37" borderId="45" xfId="415" applyNumberFormat="1" applyFont="1" applyFill="1" applyBorder="1" applyAlignment="1">
      <alignment horizontal="center" vertical="center"/>
    </xf>
    <xf numFmtId="171" fontId="67" fillId="37" borderId="39" xfId="415" applyNumberFormat="1" applyFont="1" applyFill="1" applyBorder="1" applyAlignment="1">
      <alignment horizontal="center" vertical="center" wrapText="1"/>
    </xf>
    <xf numFmtId="171" fontId="67" fillId="37" borderId="37" xfId="415" applyNumberFormat="1" applyFont="1" applyFill="1" applyBorder="1" applyAlignment="1">
      <alignment horizontal="center" vertical="center" wrapText="1"/>
    </xf>
    <xf numFmtId="175" fontId="70" fillId="0" borderId="0" xfId="0" applyNumberFormat="1" applyFont="1" applyFill="1" applyAlignment="1">
      <alignment horizontal="center" vertical="top"/>
    </xf>
    <xf numFmtId="49" fontId="63" fillId="0" borderId="0" xfId="415" applyNumberFormat="1" applyFont="1" applyAlignment="1">
      <alignment horizontal="center"/>
    </xf>
    <xf numFmtId="171" fontId="63" fillId="0" borderId="32" xfId="415" applyNumberFormat="1" applyFont="1" applyBorder="1" applyAlignment="1" applyProtection="1">
      <alignment horizontal="center"/>
    </xf>
    <xf numFmtId="172" fontId="75" fillId="37" borderId="0" xfId="0" applyNumberFormat="1" applyFont="1" applyFill="1" applyBorder="1" applyAlignment="1">
      <alignment horizontal="center" vertical="center" wrapText="1"/>
    </xf>
    <xf numFmtId="172" fontId="75" fillId="37" borderId="40" xfId="0" applyNumberFormat="1" applyFont="1" applyFill="1" applyBorder="1" applyAlignment="1">
      <alignment horizontal="center" vertical="center" wrapText="1"/>
    </xf>
    <xf numFmtId="173" fontId="67" fillId="37" borderId="43" xfId="415" applyNumberFormat="1" applyFont="1" applyFill="1" applyBorder="1" applyAlignment="1">
      <alignment horizontal="center" vertical="center" wrapText="1"/>
    </xf>
    <xf numFmtId="173" fontId="67" fillId="37" borderId="44" xfId="415" applyNumberFormat="1" applyFont="1" applyFill="1" applyBorder="1" applyAlignment="1">
      <alignment horizontal="center" vertical="center" wrapText="1"/>
    </xf>
    <xf numFmtId="171" fontId="67" fillId="37" borderId="38" xfId="415" applyNumberFormat="1" applyFont="1" applyFill="1" applyBorder="1" applyAlignment="1" applyProtection="1">
      <alignment horizontal="center" vertical="center"/>
    </xf>
    <xf numFmtId="171" fontId="67" fillId="37" borderId="0" xfId="415" applyNumberFormat="1" applyFont="1" applyFill="1" applyBorder="1" applyAlignment="1" applyProtection="1">
      <alignment horizontal="center" vertical="center"/>
    </xf>
    <xf numFmtId="171" fontId="67" fillId="37" borderId="40" xfId="415" applyNumberFormat="1" applyFont="1" applyFill="1" applyBorder="1" applyAlignment="1" applyProtection="1">
      <alignment horizontal="center" vertical="center"/>
    </xf>
    <xf numFmtId="171" fontId="67" fillId="37" borderId="38" xfId="415" applyNumberFormat="1" applyFont="1" applyFill="1" applyBorder="1" applyAlignment="1">
      <alignment horizontal="center" vertical="center" wrapText="1"/>
    </xf>
    <xf numFmtId="171" fontId="67" fillId="37" borderId="47" xfId="415" applyNumberFormat="1" applyFont="1" applyFill="1" applyBorder="1" applyAlignment="1">
      <alignment horizontal="center" vertical="center" wrapText="1"/>
    </xf>
    <xf numFmtId="0" fontId="71" fillId="37" borderId="47" xfId="1061" applyFont="1" applyFill="1" applyBorder="1" applyAlignment="1">
      <alignment vertical="center"/>
    </xf>
    <xf numFmtId="0" fontId="71" fillId="37" borderId="41" xfId="1061" applyFont="1" applyFill="1" applyBorder="1" applyAlignment="1">
      <alignment vertical="center"/>
    </xf>
    <xf numFmtId="171" fontId="67" fillId="37" borderId="41" xfId="415" applyNumberFormat="1" applyFont="1" applyFill="1" applyBorder="1" applyAlignment="1">
      <alignment horizontal="center" vertical="center" wrapText="1"/>
    </xf>
    <xf numFmtId="171" fontId="67" fillId="37" borderId="42" xfId="415" applyNumberFormat="1" applyFont="1" applyFill="1" applyBorder="1" applyAlignment="1">
      <alignment horizontal="center" vertical="center" wrapText="1"/>
    </xf>
    <xf numFmtId="0" fontId="18" fillId="35" borderId="30" xfId="0" applyFont="1" applyFill="1" applyBorder="1" applyAlignment="1" applyProtection="1">
      <alignment horizontal="center" vertical="center"/>
    </xf>
    <xf numFmtId="0" fontId="18" fillId="35" borderId="29" xfId="0" applyFont="1" applyFill="1" applyBorder="1" applyAlignment="1" applyProtection="1">
      <alignment horizontal="center" vertical="center"/>
    </xf>
    <xf numFmtId="0" fontId="18" fillId="35" borderId="28" xfId="0" applyFont="1" applyFill="1" applyBorder="1" applyAlignment="1" applyProtection="1">
      <alignment horizontal="center" vertical="center"/>
    </xf>
  </cellXfs>
  <cellStyles count="2119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56DF32C-5DE3-4D8B-9BE2-B4534BB58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zoomScaleNormal="100" zoomScaleSheetLayoutView="100" workbookViewId="0">
      <selection activeCell="D38" sqref="D38"/>
    </sheetView>
  </sheetViews>
  <sheetFormatPr baseColWidth="10" defaultColWidth="12.5703125" defaultRowHeight="12.75" x14ac:dyDescent="0.2"/>
  <cols>
    <col min="1" max="1" width="3.42578125" style="127" customWidth="1"/>
    <col min="2" max="2" width="29.140625" style="119" customWidth="1"/>
    <col min="3" max="6" width="14.7109375" style="119" customWidth="1"/>
    <col min="7" max="7" width="14.140625" style="119" customWidth="1"/>
    <col min="8" max="9" width="13.7109375" style="119" customWidth="1"/>
    <col min="10" max="10" width="0.5703125" style="119" customWidth="1"/>
    <col min="11" max="11" width="5.7109375" style="119" customWidth="1"/>
    <col min="12" max="12" width="9.28515625" style="119" customWidth="1"/>
    <col min="13" max="13" width="28.7109375" style="119" customWidth="1"/>
    <col min="14" max="14" width="5.7109375" style="119" customWidth="1"/>
    <col min="15" max="15" width="17.42578125" style="119" bestFit="1" customWidth="1"/>
    <col min="16" max="81" width="5.7109375" style="119" customWidth="1"/>
    <col min="82" max="256" width="12.5703125" style="119"/>
    <col min="257" max="257" width="3.42578125" style="119" customWidth="1"/>
    <col min="258" max="258" width="29.140625" style="119" customWidth="1"/>
    <col min="259" max="262" width="14.7109375" style="119" customWidth="1"/>
    <col min="263" max="263" width="14.140625" style="119" customWidth="1"/>
    <col min="264" max="265" width="13.7109375" style="119" customWidth="1"/>
    <col min="266" max="266" width="0.5703125" style="119" customWidth="1"/>
    <col min="267" max="267" width="5.7109375" style="119" customWidth="1"/>
    <col min="268" max="268" width="9.28515625" style="119" customWidth="1"/>
    <col min="269" max="269" width="28.7109375" style="119" customWidth="1"/>
    <col min="270" max="337" width="5.7109375" style="119" customWidth="1"/>
    <col min="338" max="512" width="12.5703125" style="119"/>
    <col min="513" max="513" width="3.42578125" style="119" customWidth="1"/>
    <col min="514" max="514" width="29.140625" style="119" customWidth="1"/>
    <col min="515" max="518" width="14.7109375" style="119" customWidth="1"/>
    <col min="519" max="519" width="14.140625" style="119" customWidth="1"/>
    <col min="520" max="521" width="13.7109375" style="119" customWidth="1"/>
    <col min="522" max="522" width="0.5703125" style="119" customWidth="1"/>
    <col min="523" max="523" width="5.7109375" style="119" customWidth="1"/>
    <col min="524" max="524" width="9.28515625" style="119" customWidth="1"/>
    <col min="525" max="525" width="28.7109375" style="119" customWidth="1"/>
    <col min="526" max="593" width="5.7109375" style="119" customWidth="1"/>
    <col min="594" max="768" width="12.5703125" style="119"/>
    <col min="769" max="769" width="3.42578125" style="119" customWidth="1"/>
    <col min="770" max="770" width="29.140625" style="119" customWidth="1"/>
    <col min="771" max="774" width="14.7109375" style="119" customWidth="1"/>
    <col min="775" max="775" width="14.140625" style="119" customWidth="1"/>
    <col min="776" max="777" width="13.7109375" style="119" customWidth="1"/>
    <col min="778" max="778" width="0.5703125" style="119" customWidth="1"/>
    <col min="779" max="779" width="5.7109375" style="119" customWidth="1"/>
    <col min="780" max="780" width="9.28515625" style="119" customWidth="1"/>
    <col min="781" max="781" width="28.7109375" style="119" customWidth="1"/>
    <col min="782" max="849" width="5.7109375" style="119" customWidth="1"/>
    <col min="850" max="1024" width="12.5703125" style="119"/>
    <col min="1025" max="1025" width="3.42578125" style="119" customWidth="1"/>
    <col min="1026" max="1026" width="29.140625" style="119" customWidth="1"/>
    <col min="1027" max="1030" width="14.7109375" style="119" customWidth="1"/>
    <col min="1031" max="1031" width="14.140625" style="119" customWidth="1"/>
    <col min="1032" max="1033" width="13.7109375" style="119" customWidth="1"/>
    <col min="1034" max="1034" width="0.5703125" style="119" customWidth="1"/>
    <col min="1035" max="1035" width="5.7109375" style="119" customWidth="1"/>
    <col min="1036" max="1036" width="9.28515625" style="119" customWidth="1"/>
    <col min="1037" max="1037" width="28.7109375" style="119" customWidth="1"/>
    <col min="1038" max="1105" width="5.7109375" style="119" customWidth="1"/>
    <col min="1106" max="1280" width="12.5703125" style="119"/>
    <col min="1281" max="1281" width="3.42578125" style="119" customWidth="1"/>
    <col min="1282" max="1282" width="29.140625" style="119" customWidth="1"/>
    <col min="1283" max="1286" width="14.7109375" style="119" customWidth="1"/>
    <col min="1287" max="1287" width="14.140625" style="119" customWidth="1"/>
    <col min="1288" max="1289" width="13.7109375" style="119" customWidth="1"/>
    <col min="1290" max="1290" width="0.5703125" style="119" customWidth="1"/>
    <col min="1291" max="1291" width="5.7109375" style="119" customWidth="1"/>
    <col min="1292" max="1292" width="9.28515625" style="119" customWidth="1"/>
    <col min="1293" max="1293" width="28.7109375" style="119" customWidth="1"/>
    <col min="1294" max="1361" width="5.7109375" style="119" customWidth="1"/>
    <col min="1362" max="1536" width="12.5703125" style="119"/>
    <col min="1537" max="1537" width="3.42578125" style="119" customWidth="1"/>
    <col min="1538" max="1538" width="29.140625" style="119" customWidth="1"/>
    <col min="1539" max="1542" width="14.7109375" style="119" customWidth="1"/>
    <col min="1543" max="1543" width="14.140625" style="119" customWidth="1"/>
    <col min="1544" max="1545" width="13.7109375" style="119" customWidth="1"/>
    <col min="1546" max="1546" width="0.5703125" style="119" customWidth="1"/>
    <col min="1547" max="1547" width="5.7109375" style="119" customWidth="1"/>
    <col min="1548" max="1548" width="9.28515625" style="119" customWidth="1"/>
    <col min="1549" max="1549" width="28.7109375" style="119" customWidth="1"/>
    <col min="1550" max="1617" width="5.7109375" style="119" customWidth="1"/>
    <col min="1618" max="1792" width="12.5703125" style="119"/>
    <col min="1793" max="1793" width="3.42578125" style="119" customWidth="1"/>
    <col min="1794" max="1794" width="29.140625" style="119" customWidth="1"/>
    <col min="1795" max="1798" width="14.7109375" style="119" customWidth="1"/>
    <col min="1799" max="1799" width="14.140625" style="119" customWidth="1"/>
    <col min="1800" max="1801" width="13.7109375" style="119" customWidth="1"/>
    <col min="1802" max="1802" width="0.5703125" style="119" customWidth="1"/>
    <col min="1803" max="1803" width="5.7109375" style="119" customWidth="1"/>
    <col min="1804" max="1804" width="9.28515625" style="119" customWidth="1"/>
    <col min="1805" max="1805" width="28.7109375" style="119" customWidth="1"/>
    <col min="1806" max="1873" width="5.7109375" style="119" customWidth="1"/>
    <col min="1874" max="2048" width="12.5703125" style="119"/>
    <col min="2049" max="2049" width="3.42578125" style="119" customWidth="1"/>
    <col min="2050" max="2050" width="29.140625" style="119" customWidth="1"/>
    <col min="2051" max="2054" width="14.7109375" style="119" customWidth="1"/>
    <col min="2055" max="2055" width="14.140625" style="119" customWidth="1"/>
    <col min="2056" max="2057" width="13.7109375" style="119" customWidth="1"/>
    <col min="2058" max="2058" width="0.5703125" style="119" customWidth="1"/>
    <col min="2059" max="2059" width="5.7109375" style="119" customWidth="1"/>
    <col min="2060" max="2060" width="9.28515625" style="119" customWidth="1"/>
    <col min="2061" max="2061" width="28.7109375" style="119" customWidth="1"/>
    <col min="2062" max="2129" width="5.7109375" style="119" customWidth="1"/>
    <col min="2130" max="2304" width="12.5703125" style="119"/>
    <col min="2305" max="2305" width="3.42578125" style="119" customWidth="1"/>
    <col min="2306" max="2306" width="29.140625" style="119" customWidth="1"/>
    <col min="2307" max="2310" width="14.7109375" style="119" customWidth="1"/>
    <col min="2311" max="2311" width="14.140625" style="119" customWidth="1"/>
    <col min="2312" max="2313" width="13.7109375" style="119" customWidth="1"/>
    <col min="2314" max="2314" width="0.5703125" style="119" customWidth="1"/>
    <col min="2315" max="2315" width="5.7109375" style="119" customWidth="1"/>
    <col min="2316" max="2316" width="9.28515625" style="119" customWidth="1"/>
    <col min="2317" max="2317" width="28.7109375" style="119" customWidth="1"/>
    <col min="2318" max="2385" width="5.7109375" style="119" customWidth="1"/>
    <col min="2386" max="2560" width="12.5703125" style="119"/>
    <col min="2561" max="2561" width="3.42578125" style="119" customWidth="1"/>
    <col min="2562" max="2562" width="29.140625" style="119" customWidth="1"/>
    <col min="2563" max="2566" width="14.7109375" style="119" customWidth="1"/>
    <col min="2567" max="2567" width="14.140625" style="119" customWidth="1"/>
    <col min="2568" max="2569" width="13.7109375" style="119" customWidth="1"/>
    <col min="2570" max="2570" width="0.5703125" style="119" customWidth="1"/>
    <col min="2571" max="2571" width="5.7109375" style="119" customWidth="1"/>
    <col min="2572" max="2572" width="9.28515625" style="119" customWidth="1"/>
    <col min="2573" max="2573" width="28.7109375" style="119" customWidth="1"/>
    <col min="2574" max="2641" width="5.7109375" style="119" customWidth="1"/>
    <col min="2642" max="2816" width="12.5703125" style="119"/>
    <col min="2817" max="2817" width="3.42578125" style="119" customWidth="1"/>
    <col min="2818" max="2818" width="29.140625" style="119" customWidth="1"/>
    <col min="2819" max="2822" width="14.7109375" style="119" customWidth="1"/>
    <col min="2823" max="2823" width="14.140625" style="119" customWidth="1"/>
    <col min="2824" max="2825" width="13.7109375" style="119" customWidth="1"/>
    <col min="2826" max="2826" width="0.5703125" style="119" customWidth="1"/>
    <col min="2827" max="2827" width="5.7109375" style="119" customWidth="1"/>
    <col min="2828" max="2828" width="9.28515625" style="119" customWidth="1"/>
    <col min="2829" max="2829" width="28.7109375" style="119" customWidth="1"/>
    <col min="2830" max="2897" width="5.7109375" style="119" customWidth="1"/>
    <col min="2898" max="3072" width="12.5703125" style="119"/>
    <col min="3073" max="3073" width="3.42578125" style="119" customWidth="1"/>
    <col min="3074" max="3074" width="29.140625" style="119" customWidth="1"/>
    <col min="3075" max="3078" width="14.7109375" style="119" customWidth="1"/>
    <col min="3079" max="3079" width="14.140625" style="119" customWidth="1"/>
    <col min="3080" max="3081" width="13.7109375" style="119" customWidth="1"/>
    <col min="3082" max="3082" width="0.5703125" style="119" customWidth="1"/>
    <col min="3083" max="3083" width="5.7109375" style="119" customWidth="1"/>
    <col min="3084" max="3084" width="9.28515625" style="119" customWidth="1"/>
    <col min="3085" max="3085" width="28.7109375" style="119" customWidth="1"/>
    <col min="3086" max="3153" width="5.7109375" style="119" customWidth="1"/>
    <col min="3154" max="3328" width="12.5703125" style="119"/>
    <col min="3329" max="3329" width="3.42578125" style="119" customWidth="1"/>
    <col min="3330" max="3330" width="29.140625" style="119" customWidth="1"/>
    <col min="3331" max="3334" width="14.7109375" style="119" customWidth="1"/>
    <col min="3335" max="3335" width="14.140625" style="119" customWidth="1"/>
    <col min="3336" max="3337" width="13.7109375" style="119" customWidth="1"/>
    <col min="3338" max="3338" width="0.5703125" style="119" customWidth="1"/>
    <col min="3339" max="3339" width="5.7109375" style="119" customWidth="1"/>
    <col min="3340" max="3340" width="9.28515625" style="119" customWidth="1"/>
    <col min="3341" max="3341" width="28.7109375" style="119" customWidth="1"/>
    <col min="3342" max="3409" width="5.7109375" style="119" customWidth="1"/>
    <col min="3410" max="3584" width="12.5703125" style="119"/>
    <col min="3585" max="3585" width="3.42578125" style="119" customWidth="1"/>
    <col min="3586" max="3586" width="29.140625" style="119" customWidth="1"/>
    <col min="3587" max="3590" width="14.7109375" style="119" customWidth="1"/>
    <col min="3591" max="3591" width="14.140625" style="119" customWidth="1"/>
    <col min="3592" max="3593" width="13.7109375" style="119" customWidth="1"/>
    <col min="3594" max="3594" width="0.5703125" style="119" customWidth="1"/>
    <col min="3595" max="3595" width="5.7109375" style="119" customWidth="1"/>
    <col min="3596" max="3596" width="9.28515625" style="119" customWidth="1"/>
    <col min="3597" max="3597" width="28.7109375" style="119" customWidth="1"/>
    <col min="3598" max="3665" width="5.7109375" style="119" customWidth="1"/>
    <col min="3666" max="3840" width="12.5703125" style="119"/>
    <col min="3841" max="3841" width="3.42578125" style="119" customWidth="1"/>
    <col min="3842" max="3842" width="29.140625" style="119" customWidth="1"/>
    <col min="3843" max="3846" width="14.7109375" style="119" customWidth="1"/>
    <col min="3847" max="3847" width="14.140625" style="119" customWidth="1"/>
    <col min="3848" max="3849" width="13.7109375" style="119" customWidth="1"/>
    <col min="3850" max="3850" width="0.5703125" style="119" customWidth="1"/>
    <col min="3851" max="3851" width="5.7109375" style="119" customWidth="1"/>
    <col min="3852" max="3852" width="9.28515625" style="119" customWidth="1"/>
    <col min="3853" max="3853" width="28.7109375" style="119" customWidth="1"/>
    <col min="3854" max="3921" width="5.7109375" style="119" customWidth="1"/>
    <col min="3922" max="4096" width="12.5703125" style="119"/>
    <col min="4097" max="4097" width="3.42578125" style="119" customWidth="1"/>
    <col min="4098" max="4098" width="29.140625" style="119" customWidth="1"/>
    <col min="4099" max="4102" width="14.7109375" style="119" customWidth="1"/>
    <col min="4103" max="4103" width="14.140625" style="119" customWidth="1"/>
    <col min="4104" max="4105" width="13.7109375" style="119" customWidth="1"/>
    <col min="4106" max="4106" width="0.5703125" style="119" customWidth="1"/>
    <col min="4107" max="4107" width="5.7109375" style="119" customWidth="1"/>
    <col min="4108" max="4108" width="9.28515625" style="119" customWidth="1"/>
    <col min="4109" max="4109" width="28.7109375" style="119" customWidth="1"/>
    <col min="4110" max="4177" width="5.7109375" style="119" customWidth="1"/>
    <col min="4178" max="4352" width="12.5703125" style="119"/>
    <col min="4353" max="4353" width="3.42578125" style="119" customWidth="1"/>
    <col min="4354" max="4354" width="29.140625" style="119" customWidth="1"/>
    <col min="4355" max="4358" width="14.7109375" style="119" customWidth="1"/>
    <col min="4359" max="4359" width="14.140625" style="119" customWidth="1"/>
    <col min="4360" max="4361" width="13.7109375" style="119" customWidth="1"/>
    <col min="4362" max="4362" width="0.5703125" style="119" customWidth="1"/>
    <col min="4363" max="4363" width="5.7109375" style="119" customWidth="1"/>
    <col min="4364" max="4364" width="9.28515625" style="119" customWidth="1"/>
    <col min="4365" max="4365" width="28.7109375" style="119" customWidth="1"/>
    <col min="4366" max="4433" width="5.7109375" style="119" customWidth="1"/>
    <col min="4434" max="4608" width="12.5703125" style="119"/>
    <col min="4609" max="4609" width="3.42578125" style="119" customWidth="1"/>
    <col min="4610" max="4610" width="29.140625" style="119" customWidth="1"/>
    <col min="4611" max="4614" width="14.7109375" style="119" customWidth="1"/>
    <col min="4615" max="4615" width="14.140625" style="119" customWidth="1"/>
    <col min="4616" max="4617" width="13.7109375" style="119" customWidth="1"/>
    <col min="4618" max="4618" width="0.5703125" style="119" customWidth="1"/>
    <col min="4619" max="4619" width="5.7109375" style="119" customWidth="1"/>
    <col min="4620" max="4620" width="9.28515625" style="119" customWidth="1"/>
    <col min="4621" max="4621" width="28.7109375" style="119" customWidth="1"/>
    <col min="4622" max="4689" width="5.7109375" style="119" customWidth="1"/>
    <col min="4690" max="4864" width="12.5703125" style="119"/>
    <col min="4865" max="4865" width="3.42578125" style="119" customWidth="1"/>
    <col min="4866" max="4866" width="29.140625" style="119" customWidth="1"/>
    <col min="4867" max="4870" width="14.7109375" style="119" customWidth="1"/>
    <col min="4871" max="4871" width="14.140625" style="119" customWidth="1"/>
    <col min="4872" max="4873" width="13.7109375" style="119" customWidth="1"/>
    <col min="4874" max="4874" width="0.5703125" style="119" customWidth="1"/>
    <col min="4875" max="4875" width="5.7109375" style="119" customWidth="1"/>
    <col min="4876" max="4876" width="9.28515625" style="119" customWidth="1"/>
    <col min="4877" max="4877" width="28.7109375" style="119" customWidth="1"/>
    <col min="4878" max="4945" width="5.7109375" style="119" customWidth="1"/>
    <col min="4946" max="5120" width="12.5703125" style="119"/>
    <col min="5121" max="5121" width="3.42578125" style="119" customWidth="1"/>
    <col min="5122" max="5122" width="29.140625" style="119" customWidth="1"/>
    <col min="5123" max="5126" width="14.7109375" style="119" customWidth="1"/>
    <col min="5127" max="5127" width="14.140625" style="119" customWidth="1"/>
    <col min="5128" max="5129" width="13.7109375" style="119" customWidth="1"/>
    <col min="5130" max="5130" width="0.5703125" style="119" customWidth="1"/>
    <col min="5131" max="5131" width="5.7109375" style="119" customWidth="1"/>
    <col min="5132" max="5132" width="9.28515625" style="119" customWidth="1"/>
    <col min="5133" max="5133" width="28.7109375" style="119" customWidth="1"/>
    <col min="5134" max="5201" width="5.7109375" style="119" customWidth="1"/>
    <col min="5202" max="5376" width="12.5703125" style="119"/>
    <col min="5377" max="5377" width="3.42578125" style="119" customWidth="1"/>
    <col min="5378" max="5378" width="29.140625" style="119" customWidth="1"/>
    <col min="5379" max="5382" width="14.7109375" style="119" customWidth="1"/>
    <col min="5383" max="5383" width="14.140625" style="119" customWidth="1"/>
    <col min="5384" max="5385" width="13.7109375" style="119" customWidth="1"/>
    <col min="5386" max="5386" width="0.5703125" style="119" customWidth="1"/>
    <col min="5387" max="5387" width="5.7109375" style="119" customWidth="1"/>
    <col min="5388" max="5388" width="9.28515625" style="119" customWidth="1"/>
    <col min="5389" max="5389" width="28.7109375" style="119" customWidth="1"/>
    <col min="5390" max="5457" width="5.7109375" style="119" customWidth="1"/>
    <col min="5458" max="5632" width="12.5703125" style="119"/>
    <col min="5633" max="5633" width="3.42578125" style="119" customWidth="1"/>
    <col min="5634" max="5634" width="29.140625" style="119" customWidth="1"/>
    <col min="5635" max="5638" width="14.7109375" style="119" customWidth="1"/>
    <col min="5639" max="5639" width="14.140625" style="119" customWidth="1"/>
    <col min="5640" max="5641" width="13.7109375" style="119" customWidth="1"/>
    <col min="5642" max="5642" width="0.5703125" style="119" customWidth="1"/>
    <col min="5643" max="5643" width="5.7109375" style="119" customWidth="1"/>
    <col min="5644" max="5644" width="9.28515625" style="119" customWidth="1"/>
    <col min="5645" max="5645" width="28.7109375" style="119" customWidth="1"/>
    <col min="5646" max="5713" width="5.7109375" style="119" customWidth="1"/>
    <col min="5714" max="5888" width="12.5703125" style="119"/>
    <col min="5889" max="5889" width="3.42578125" style="119" customWidth="1"/>
    <col min="5890" max="5890" width="29.140625" style="119" customWidth="1"/>
    <col min="5891" max="5894" width="14.7109375" style="119" customWidth="1"/>
    <col min="5895" max="5895" width="14.140625" style="119" customWidth="1"/>
    <col min="5896" max="5897" width="13.7109375" style="119" customWidth="1"/>
    <col min="5898" max="5898" width="0.5703125" style="119" customWidth="1"/>
    <col min="5899" max="5899" width="5.7109375" style="119" customWidth="1"/>
    <col min="5900" max="5900" width="9.28515625" style="119" customWidth="1"/>
    <col min="5901" max="5901" width="28.7109375" style="119" customWidth="1"/>
    <col min="5902" max="5969" width="5.7109375" style="119" customWidth="1"/>
    <col min="5970" max="6144" width="12.5703125" style="119"/>
    <col min="6145" max="6145" width="3.42578125" style="119" customWidth="1"/>
    <col min="6146" max="6146" width="29.140625" style="119" customWidth="1"/>
    <col min="6147" max="6150" width="14.7109375" style="119" customWidth="1"/>
    <col min="6151" max="6151" width="14.140625" style="119" customWidth="1"/>
    <col min="6152" max="6153" width="13.7109375" style="119" customWidth="1"/>
    <col min="6154" max="6154" width="0.5703125" style="119" customWidth="1"/>
    <col min="6155" max="6155" width="5.7109375" style="119" customWidth="1"/>
    <col min="6156" max="6156" width="9.28515625" style="119" customWidth="1"/>
    <col min="6157" max="6157" width="28.7109375" style="119" customWidth="1"/>
    <col min="6158" max="6225" width="5.7109375" style="119" customWidth="1"/>
    <col min="6226" max="6400" width="12.5703125" style="119"/>
    <col min="6401" max="6401" width="3.42578125" style="119" customWidth="1"/>
    <col min="6402" max="6402" width="29.140625" style="119" customWidth="1"/>
    <col min="6403" max="6406" width="14.7109375" style="119" customWidth="1"/>
    <col min="6407" max="6407" width="14.140625" style="119" customWidth="1"/>
    <col min="6408" max="6409" width="13.7109375" style="119" customWidth="1"/>
    <col min="6410" max="6410" width="0.5703125" style="119" customWidth="1"/>
    <col min="6411" max="6411" width="5.7109375" style="119" customWidth="1"/>
    <col min="6412" max="6412" width="9.28515625" style="119" customWidth="1"/>
    <col min="6413" max="6413" width="28.7109375" style="119" customWidth="1"/>
    <col min="6414" max="6481" width="5.7109375" style="119" customWidth="1"/>
    <col min="6482" max="6656" width="12.5703125" style="119"/>
    <col min="6657" max="6657" width="3.42578125" style="119" customWidth="1"/>
    <col min="6658" max="6658" width="29.140625" style="119" customWidth="1"/>
    <col min="6659" max="6662" width="14.7109375" style="119" customWidth="1"/>
    <col min="6663" max="6663" width="14.140625" style="119" customWidth="1"/>
    <col min="6664" max="6665" width="13.7109375" style="119" customWidth="1"/>
    <col min="6666" max="6666" width="0.5703125" style="119" customWidth="1"/>
    <col min="6667" max="6667" width="5.7109375" style="119" customWidth="1"/>
    <col min="6668" max="6668" width="9.28515625" style="119" customWidth="1"/>
    <col min="6669" max="6669" width="28.7109375" style="119" customWidth="1"/>
    <col min="6670" max="6737" width="5.7109375" style="119" customWidth="1"/>
    <col min="6738" max="6912" width="12.5703125" style="119"/>
    <col min="6913" max="6913" width="3.42578125" style="119" customWidth="1"/>
    <col min="6914" max="6914" width="29.140625" style="119" customWidth="1"/>
    <col min="6915" max="6918" width="14.7109375" style="119" customWidth="1"/>
    <col min="6919" max="6919" width="14.140625" style="119" customWidth="1"/>
    <col min="6920" max="6921" width="13.7109375" style="119" customWidth="1"/>
    <col min="6922" max="6922" width="0.5703125" style="119" customWidth="1"/>
    <col min="6923" max="6923" width="5.7109375" style="119" customWidth="1"/>
    <col min="6924" max="6924" width="9.28515625" style="119" customWidth="1"/>
    <col min="6925" max="6925" width="28.7109375" style="119" customWidth="1"/>
    <col min="6926" max="6993" width="5.7109375" style="119" customWidth="1"/>
    <col min="6994" max="7168" width="12.5703125" style="119"/>
    <col min="7169" max="7169" width="3.42578125" style="119" customWidth="1"/>
    <col min="7170" max="7170" width="29.140625" style="119" customWidth="1"/>
    <col min="7171" max="7174" width="14.7109375" style="119" customWidth="1"/>
    <col min="7175" max="7175" width="14.140625" style="119" customWidth="1"/>
    <col min="7176" max="7177" width="13.7109375" style="119" customWidth="1"/>
    <col min="7178" max="7178" width="0.5703125" style="119" customWidth="1"/>
    <col min="7179" max="7179" width="5.7109375" style="119" customWidth="1"/>
    <col min="7180" max="7180" width="9.28515625" style="119" customWidth="1"/>
    <col min="7181" max="7181" width="28.7109375" style="119" customWidth="1"/>
    <col min="7182" max="7249" width="5.7109375" style="119" customWidth="1"/>
    <col min="7250" max="7424" width="12.5703125" style="119"/>
    <col min="7425" max="7425" width="3.42578125" style="119" customWidth="1"/>
    <col min="7426" max="7426" width="29.140625" style="119" customWidth="1"/>
    <col min="7427" max="7430" width="14.7109375" style="119" customWidth="1"/>
    <col min="7431" max="7431" width="14.140625" style="119" customWidth="1"/>
    <col min="7432" max="7433" width="13.7109375" style="119" customWidth="1"/>
    <col min="7434" max="7434" width="0.5703125" style="119" customWidth="1"/>
    <col min="7435" max="7435" width="5.7109375" style="119" customWidth="1"/>
    <col min="7436" max="7436" width="9.28515625" style="119" customWidth="1"/>
    <col min="7437" max="7437" width="28.7109375" style="119" customWidth="1"/>
    <col min="7438" max="7505" width="5.7109375" style="119" customWidth="1"/>
    <col min="7506" max="7680" width="12.5703125" style="119"/>
    <col min="7681" max="7681" width="3.42578125" style="119" customWidth="1"/>
    <col min="7682" max="7682" width="29.140625" style="119" customWidth="1"/>
    <col min="7683" max="7686" width="14.7109375" style="119" customWidth="1"/>
    <col min="7687" max="7687" width="14.140625" style="119" customWidth="1"/>
    <col min="7688" max="7689" width="13.7109375" style="119" customWidth="1"/>
    <col min="7690" max="7690" width="0.5703125" style="119" customWidth="1"/>
    <col min="7691" max="7691" width="5.7109375" style="119" customWidth="1"/>
    <col min="7692" max="7692" width="9.28515625" style="119" customWidth="1"/>
    <col min="7693" max="7693" width="28.7109375" style="119" customWidth="1"/>
    <col min="7694" max="7761" width="5.7109375" style="119" customWidth="1"/>
    <col min="7762" max="7936" width="12.5703125" style="119"/>
    <col min="7937" max="7937" width="3.42578125" style="119" customWidth="1"/>
    <col min="7938" max="7938" width="29.140625" style="119" customWidth="1"/>
    <col min="7939" max="7942" width="14.7109375" style="119" customWidth="1"/>
    <col min="7943" max="7943" width="14.140625" style="119" customWidth="1"/>
    <col min="7944" max="7945" width="13.7109375" style="119" customWidth="1"/>
    <col min="7946" max="7946" width="0.5703125" style="119" customWidth="1"/>
    <col min="7947" max="7947" width="5.7109375" style="119" customWidth="1"/>
    <col min="7948" max="7948" width="9.28515625" style="119" customWidth="1"/>
    <col min="7949" max="7949" width="28.7109375" style="119" customWidth="1"/>
    <col min="7950" max="8017" width="5.7109375" style="119" customWidth="1"/>
    <col min="8018" max="8192" width="12.5703125" style="119"/>
    <col min="8193" max="8193" width="3.42578125" style="119" customWidth="1"/>
    <col min="8194" max="8194" width="29.140625" style="119" customWidth="1"/>
    <col min="8195" max="8198" width="14.7109375" style="119" customWidth="1"/>
    <col min="8199" max="8199" width="14.140625" style="119" customWidth="1"/>
    <col min="8200" max="8201" width="13.7109375" style="119" customWidth="1"/>
    <col min="8202" max="8202" width="0.5703125" style="119" customWidth="1"/>
    <col min="8203" max="8203" width="5.7109375" style="119" customWidth="1"/>
    <col min="8204" max="8204" width="9.28515625" style="119" customWidth="1"/>
    <col min="8205" max="8205" width="28.7109375" style="119" customWidth="1"/>
    <col min="8206" max="8273" width="5.7109375" style="119" customWidth="1"/>
    <col min="8274" max="8448" width="12.5703125" style="119"/>
    <col min="8449" max="8449" width="3.42578125" style="119" customWidth="1"/>
    <col min="8450" max="8450" width="29.140625" style="119" customWidth="1"/>
    <col min="8451" max="8454" width="14.7109375" style="119" customWidth="1"/>
    <col min="8455" max="8455" width="14.140625" style="119" customWidth="1"/>
    <col min="8456" max="8457" width="13.7109375" style="119" customWidth="1"/>
    <col min="8458" max="8458" width="0.5703125" style="119" customWidth="1"/>
    <col min="8459" max="8459" width="5.7109375" style="119" customWidth="1"/>
    <col min="8460" max="8460" width="9.28515625" style="119" customWidth="1"/>
    <col min="8461" max="8461" width="28.7109375" style="119" customWidth="1"/>
    <col min="8462" max="8529" width="5.7109375" style="119" customWidth="1"/>
    <col min="8530" max="8704" width="12.5703125" style="119"/>
    <col min="8705" max="8705" width="3.42578125" style="119" customWidth="1"/>
    <col min="8706" max="8706" width="29.140625" style="119" customWidth="1"/>
    <col min="8707" max="8710" width="14.7109375" style="119" customWidth="1"/>
    <col min="8711" max="8711" width="14.140625" style="119" customWidth="1"/>
    <col min="8712" max="8713" width="13.7109375" style="119" customWidth="1"/>
    <col min="8714" max="8714" width="0.5703125" style="119" customWidth="1"/>
    <col min="8715" max="8715" width="5.7109375" style="119" customWidth="1"/>
    <col min="8716" max="8716" width="9.28515625" style="119" customWidth="1"/>
    <col min="8717" max="8717" width="28.7109375" style="119" customWidth="1"/>
    <col min="8718" max="8785" width="5.7109375" style="119" customWidth="1"/>
    <col min="8786" max="8960" width="12.5703125" style="119"/>
    <col min="8961" max="8961" width="3.42578125" style="119" customWidth="1"/>
    <col min="8962" max="8962" width="29.140625" style="119" customWidth="1"/>
    <col min="8963" max="8966" width="14.7109375" style="119" customWidth="1"/>
    <col min="8967" max="8967" width="14.140625" style="119" customWidth="1"/>
    <col min="8968" max="8969" width="13.7109375" style="119" customWidth="1"/>
    <col min="8970" max="8970" width="0.5703125" style="119" customWidth="1"/>
    <col min="8971" max="8971" width="5.7109375" style="119" customWidth="1"/>
    <col min="8972" max="8972" width="9.28515625" style="119" customWidth="1"/>
    <col min="8973" max="8973" width="28.7109375" style="119" customWidth="1"/>
    <col min="8974" max="9041" width="5.7109375" style="119" customWidth="1"/>
    <col min="9042" max="9216" width="12.5703125" style="119"/>
    <col min="9217" max="9217" width="3.42578125" style="119" customWidth="1"/>
    <col min="9218" max="9218" width="29.140625" style="119" customWidth="1"/>
    <col min="9219" max="9222" width="14.7109375" style="119" customWidth="1"/>
    <col min="9223" max="9223" width="14.140625" style="119" customWidth="1"/>
    <col min="9224" max="9225" width="13.7109375" style="119" customWidth="1"/>
    <col min="9226" max="9226" width="0.5703125" style="119" customWidth="1"/>
    <col min="9227" max="9227" width="5.7109375" style="119" customWidth="1"/>
    <col min="9228" max="9228" width="9.28515625" style="119" customWidth="1"/>
    <col min="9229" max="9229" width="28.7109375" style="119" customWidth="1"/>
    <col min="9230" max="9297" width="5.7109375" style="119" customWidth="1"/>
    <col min="9298" max="9472" width="12.5703125" style="119"/>
    <col min="9473" max="9473" width="3.42578125" style="119" customWidth="1"/>
    <col min="9474" max="9474" width="29.140625" style="119" customWidth="1"/>
    <col min="9475" max="9478" width="14.7109375" style="119" customWidth="1"/>
    <col min="9479" max="9479" width="14.140625" style="119" customWidth="1"/>
    <col min="9480" max="9481" width="13.7109375" style="119" customWidth="1"/>
    <col min="9482" max="9482" width="0.5703125" style="119" customWidth="1"/>
    <col min="9483" max="9483" width="5.7109375" style="119" customWidth="1"/>
    <col min="9484" max="9484" width="9.28515625" style="119" customWidth="1"/>
    <col min="9485" max="9485" width="28.7109375" style="119" customWidth="1"/>
    <col min="9486" max="9553" width="5.7109375" style="119" customWidth="1"/>
    <col min="9554" max="9728" width="12.5703125" style="119"/>
    <col min="9729" max="9729" width="3.42578125" style="119" customWidth="1"/>
    <col min="9730" max="9730" width="29.140625" style="119" customWidth="1"/>
    <col min="9731" max="9734" width="14.7109375" style="119" customWidth="1"/>
    <col min="9735" max="9735" width="14.140625" style="119" customWidth="1"/>
    <col min="9736" max="9737" width="13.7109375" style="119" customWidth="1"/>
    <col min="9738" max="9738" width="0.5703125" style="119" customWidth="1"/>
    <col min="9739" max="9739" width="5.7109375" style="119" customWidth="1"/>
    <col min="9740" max="9740" width="9.28515625" style="119" customWidth="1"/>
    <col min="9741" max="9741" width="28.7109375" style="119" customWidth="1"/>
    <col min="9742" max="9809" width="5.7109375" style="119" customWidth="1"/>
    <col min="9810" max="9984" width="12.5703125" style="119"/>
    <col min="9985" max="9985" width="3.42578125" style="119" customWidth="1"/>
    <col min="9986" max="9986" width="29.140625" style="119" customWidth="1"/>
    <col min="9987" max="9990" width="14.7109375" style="119" customWidth="1"/>
    <col min="9991" max="9991" width="14.140625" style="119" customWidth="1"/>
    <col min="9992" max="9993" width="13.7109375" style="119" customWidth="1"/>
    <col min="9994" max="9994" width="0.5703125" style="119" customWidth="1"/>
    <col min="9995" max="9995" width="5.7109375" style="119" customWidth="1"/>
    <col min="9996" max="9996" width="9.28515625" style="119" customWidth="1"/>
    <col min="9997" max="9997" width="28.7109375" style="119" customWidth="1"/>
    <col min="9998" max="10065" width="5.7109375" style="119" customWidth="1"/>
    <col min="10066" max="10240" width="12.5703125" style="119"/>
    <col min="10241" max="10241" width="3.42578125" style="119" customWidth="1"/>
    <col min="10242" max="10242" width="29.140625" style="119" customWidth="1"/>
    <col min="10243" max="10246" width="14.7109375" style="119" customWidth="1"/>
    <col min="10247" max="10247" width="14.140625" style="119" customWidth="1"/>
    <col min="10248" max="10249" width="13.7109375" style="119" customWidth="1"/>
    <col min="10250" max="10250" width="0.5703125" style="119" customWidth="1"/>
    <col min="10251" max="10251" width="5.7109375" style="119" customWidth="1"/>
    <col min="10252" max="10252" width="9.28515625" style="119" customWidth="1"/>
    <col min="10253" max="10253" width="28.7109375" style="119" customWidth="1"/>
    <col min="10254" max="10321" width="5.7109375" style="119" customWidth="1"/>
    <col min="10322" max="10496" width="12.5703125" style="119"/>
    <col min="10497" max="10497" width="3.42578125" style="119" customWidth="1"/>
    <col min="10498" max="10498" width="29.140625" style="119" customWidth="1"/>
    <col min="10499" max="10502" width="14.7109375" style="119" customWidth="1"/>
    <col min="10503" max="10503" width="14.140625" style="119" customWidth="1"/>
    <col min="10504" max="10505" width="13.7109375" style="119" customWidth="1"/>
    <col min="10506" max="10506" width="0.5703125" style="119" customWidth="1"/>
    <col min="10507" max="10507" width="5.7109375" style="119" customWidth="1"/>
    <col min="10508" max="10508" width="9.28515625" style="119" customWidth="1"/>
    <col min="10509" max="10509" width="28.7109375" style="119" customWidth="1"/>
    <col min="10510" max="10577" width="5.7109375" style="119" customWidth="1"/>
    <col min="10578" max="10752" width="12.5703125" style="119"/>
    <col min="10753" max="10753" width="3.42578125" style="119" customWidth="1"/>
    <col min="10754" max="10754" width="29.140625" style="119" customWidth="1"/>
    <col min="10755" max="10758" width="14.7109375" style="119" customWidth="1"/>
    <col min="10759" max="10759" width="14.140625" style="119" customWidth="1"/>
    <col min="10760" max="10761" width="13.7109375" style="119" customWidth="1"/>
    <col min="10762" max="10762" width="0.5703125" style="119" customWidth="1"/>
    <col min="10763" max="10763" width="5.7109375" style="119" customWidth="1"/>
    <col min="10764" max="10764" width="9.28515625" style="119" customWidth="1"/>
    <col min="10765" max="10765" width="28.7109375" style="119" customWidth="1"/>
    <col min="10766" max="10833" width="5.7109375" style="119" customWidth="1"/>
    <col min="10834" max="11008" width="12.5703125" style="119"/>
    <col min="11009" max="11009" width="3.42578125" style="119" customWidth="1"/>
    <col min="11010" max="11010" width="29.140625" style="119" customWidth="1"/>
    <col min="11011" max="11014" width="14.7109375" style="119" customWidth="1"/>
    <col min="11015" max="11015" width="14.140625" style="119" customWidth="1"/>
    <col min="11016" max="11017" width="13.7109375" style="119" customWidth="1"/>
    <col min="11018" max="11018" width="0.5703125" style="119" customWidth="1"/>
    <col min="11019" max="11019" width="5.7109375" style="119" customWidth="1"/>
    <col min="11020" max="11020" width="9.28515625" style="119" customWidth="1"/>
    <col min="11021" max="11021" width="28.7109375" style="119" customWidth="1"/>
    <col min="11022" max="11089" width="5.7109375" style="119" customWidth="1"/>
    <col min="11090" max="11264" width="12.5703125" style="119"/>
    <col min="11265" max="11265" width="3.42578125" style="119" customWidth="1"/>
    <col min="11266" max="11266" width="29.140625" style="119" customWidth="1"/>
    <col min="11267" max="11270" width="14.7109375" style="119" customWidth="1"/>
    <col min="11271" max="11271" width="14.140625" style="119" customWidth="1"/>
    <col min="11272" max="11273" width="13.7109375" style="119" customWidth="1"/>
    <col min="11274" max="11274" width="0.5703125" style="119" customWidth="1"/>
    <col min="11275" max="11275" width="5.7109375" style="119" customWidth="1"/>
    <col min="11276" max="11276" width="9.28515625" style="119" customWidth="1"/>
    <col min="11277" max="11277" width="28.7109375" style="119" customWidth="1"/>
    <col min="11278" max="11345" width="5.7109375" style="119" customWidth="1"/>
    <col min="11346" max="11520" width="12.5703125" style="119"/>
    <col min="11521" max="11521" width="3.42578125" style="119" customWidth="1"/>
    <col min="11522" max="11522" width="29.140625" style="119" customWidth="1"/>
    <col min="11523" max="11526" width="14.7109375" style="119" customWidth="1"/>
    <col min="11527" max="11527" width="14.140625" style="119" customWidth="1"/>
    <col min="11528" max="11529" width="13.7109375" style="119" customWidth="1"/>
    <col min="11530" max="11530" width="0.5703125" style="119" customWidth="1"/>
    <col min="11531" max="11531" width="5.7109375" style="119" customWidth="1"/>
    <col min="11532" max="11532" width="9.28515625" style="119" customWidth="1"/>
    <col min="11533" max="11533" width="28.7109375" style="119" customWidth="1"/>
    <col min="11534" max="11601" width="5.7109375" style="119" customWidth="1"/>
    <col min="11602" max="11776" width="12.5703125" style="119"/>
    <col min="11777" max="11777" width="3.42578125" style="119" customWidth="1"/>
    <col min="11778" max="11778" width="29.140625" style="119" customWidth="1"/>
    <col min="11779" max="11782" width="14.7109375" style="119" customWidth="1"/>
    <col min="11783" max="11783" width="14.140625" style="119" customWidth="1"/>
    <col min="11784" max="11785" width="13.7109375" style="119" customWidth="1"/>
    <col min="11786" max="11786" width="0.5703125" style="119" customWidth="1"/>
    <col min="11787" max="11787" width="5.7109375" style="119" customWidth="1"/>
    <col min="11788" max="11788" width="9.28515625" style="119" customWidth="1"/>
    <col min="11789" max="11789" width="28.7109375" style="119" customWidth="1"/>
    <col min="11790" max="11857" width="5.7109375" style="119" customWidth="1"/>
    <col min="11858" max="12032" width="12.5703125" style="119"/>
    <col min="12033" max="12033" width="3.42578125" style="119" customWidth="1"/>
    <col min="12034" max="12034" width="29.140625" style="119" customWidth="1"/>
    <col min="12035" max="12038" width="14.7109375" style="119" customWidth="1"/>
    <col min="12039" max="12039" width="14.140625" style="119" customWidth="1"/>
    <col min="12040" max="12041" width="13.7109375" style="119" customWidth="1"/>
    <col min="12042" max="12042" width="0.5703125" style="119" customWidth="1"/>
    <col min="12043" max="12043" width="5.7109375" style="119" customWidth="1"/>
    <col min="12044" max="12044" width="9.28515625" style="119" customWidth="1"/>
    <col min="12045" max="12045" width="28.7109375" style="119" customWidth="1"/>
    <col min="12046" max="12113" width="5.7109375" style="119" customWidth="1"/>
    <col min="12114" max="12288" width="12.5703125" style="119"/>
    <col min="12289" max="12289" width="3.42578125" style="119" customWidth="1"/>
    <col min="12290" max="12290" width="29.140625" style="119" customWidth="1"/>
    <col min="12291" max="12294" width="14.7109375" style="119" customWidth="1"/>
    <col min="12295" max="12295" width="14.140625" style="119" customWidth="1"/>
    <col min="12296" max="12297" width="13.7109375" style="119" customWidth="1"/>
    <col min="12298" max="12298" width="0.5703125" style="119" customWidth="1"/>
    <col min="12299" max="12299" width="5.7109375" style="119" customWidth="1"/>
    <col min="12300" max="12300" width="9.28515625" style="119" customWidth="1"/>
    <col min="12301" max="12301" width="28.7109375" style="119" customWidth="1"/>
    <col min="12302" max="12369" width="5.7109375" style="119" customWidth="1"/>
    <col min="12370" max="12544" width="12.5703125" style="119"/>
    <col min="12545" max="12545" width="3.42578125" style="119" customWidth="1"/>
    <col min="12546" max="12546" width="29.140625" style="119" customWidth="1"/>
    <col min="12547" max="12550" width="14.7109375" style="119" customWidth="1"/>
    <col min="12551" max="12551" width="14.140625" style="119" customWidth="1"/>
    <col min="12552" max="12553" width="13.7109375" style="119" customWidth="1"/>
    <col min="12554" max="12554" width="0.5703125" style="119" customWidth="1"/>
    <col min="12555" max="12555" width="5.7109375" style="119" customWidth="1"/>
    <col min="12556" max="12556" width="9.28515625" style="119" customWidth="1"/>
    <col min="12557" max="12557" width="28.7109375" style="119" customWidth="1"/>
    <col min="12558" max="12625" width="5.7109375" style="119" customWidth="1"/>
    <col min="12626" max="12800" width="12.5703125" style="119"/>
    <col min="12801" max="12801" width="3.42578125" style="119" customWidth="1"/>
    <col min="12802" max="12802" width="29.140625" style="119" customWidth="1"/>
    <col min="12803" max="12806" width="14.7109375" style="119" customWidth="1"/>
    <col min="12807" max="12807" width="14.140625" style="119" customWidth="1"/>
    <col min="12808" max="12809" width="13.7109375" style="119" customWidth="1"/>
    <col min="12810" max="12810" width="0.5703125" style="119" customWidth="1"/>
    <col min="12811" max="12811" width="5.7109375" style="119" customWidth="1"/>
    <col min="12812" max="12812" width="9.28515625" style="119" customWidth="1"/>
    <col min="12813" max="12813" width="28.7109375" style="119" customWidth="1"/>
    <col min="12814" max="12881" width="5.7109375" style="119" customWidth="1"/>
    <col min="12882" max="13056" width="12.5703125" style="119"/>
    <col min="13057" max="13057" width="3.42578125" style="119" customWidth="1"/>
    <col min="13058" max="13058" width="29.140625" style="119" customWidth="1"/>
    <col min="13059" max="13062" width="14.7109375" style="119" customWidth="1"/>
    <col min="13063" max="13063" width="14.140625" style="119" customWidth="1"/>
    <col min="13064" max="13065" width="13.7109375" style="119" customWidth="1"/>
    <col min="13066" max="13066" width="0.5703125" style="119" customWidth="1"/>
    <col min="13067" max="13067" width="5.7109375" style="119" customWidth="1"/>
    <col min="13068" max="13068" width="9.28515625" style="119" customWidth="1"/>
    <col min="13069" max="13069" width="28.7109375" style="119" customWidth="1"/>
    <col min="13070" max="13137" width="5.7109375" style="119" customWidth="1"/>
    <col min="13138" max="13312" width="12.5703125" style="119"/>
    <col min="13313" max="13313" width="3.42578125" style="119" customWidth="1"/>
    <col min="13314" max="13314" width="29.140625" style="119" customWidth="1"/>
    <col min="13315" max="13318" width="14.7109375" style="119" customWidth="1"/>
    <col min="13319" max="13319" width="14.140625" style="119" customWidth="1"/>
    <col min="13320" max="13321" width="13.7109375" style="119" customWidth="1"/>
    <col min="13322" max="13322" width="0.5703125" style="119" customWidth="1"/>
    <col min="13323" max="13323" width="5.7109375" style="119" customWidth="1"/>
    <col min="13324" max="13324" width="9.28515625" style="119" customWidth="1"/>
    <col min="13325" max="13325" width="28.7109375" style="119" customWidth="1"/>
    <col min="13326" max="13393" width="5.7109375" style="119" customWidth="1"/>
    <col min="13394" max="13568" width="12.5703125" style="119"/>
    <col min="13569" max="13569" width="3.42578125" style="119" customWidth="1"/>
    <col min="13570" max="13570" width="29.140625" style="119" customWidth="1"/>
    <col min="13571" max="13574" width="14.7109375" style="119" customWidth="1"/>
    <col min="13575" max="13575" width="14.140625" style="119" customWidth="1"/>
    <col min="13576" max="13577" width="13.7109375" style="119" customWidth="1"/>
    <col min="13578" max="13578" width="0.5703125" style="119" customWidth="1"/>
    <col min="13579" max="13579" width="5.7109375" style="119" customWidth="1"/>
    <col min="13580" max="13580" width="9.28515625" style="119" customWidth="1"/>
    <col min="13581" max="13581" width="28.7109375" style="119" customWidth="1"/>
    <col min="13582" max="13649" width="5.7109375" style="119" customWidth="1"/>
    <col min="13650" max="13824" width="12.5703125" style="119"/>
    <col min="13825" max="13825" width="3.42578125" style="119" customWidth="1"/>
    <col min="13826" max="13826" width="29.140625" style="119" customWidth="1"/>
    <col min="13827" max="13830" width="14.7109375" style="119" customWidth="1"/>
    <col min="13831" max="13831" width="14.140625" style="119" customWidth="1"/>
    <col min="13832" max="13833" width="13.7109375" style="119" customWidth="1"/>
    <col min="13834" max="13834" width="0.5703125" style="119" customWidth="1"/>
    <col min="13835" max="13835" width="5.7109375" style="119" customWidth="1"/>
    <col min="13836" max="13836" width="9.28515625" style="119" customWidth="1"/>
    <col min="13837" max="13837" width="28.7109375" style="119" customWidth="1"/>
    <col min="13838" max="13905" width="5.7109375" style="119" customWidth="1"/>
    <col min="13906" max="14080" width="12.5703125" style="119"/>
    <col min="14081" max="14081" width="3.42578125" style="119" customWidth="1"/>
    <col min="14082" max="14082" width="29.140625" style="119" customWidth="1"/>
    <col min="14083" max="14086" width="14.7109375" style="119" customWidth="1"/>
    <col min="14087" max="14087" width="14.140625" style="119" customWidth="1"/>
    <col min="14088" max="14089" width="13.7109375" style="119" customWidth="1"/>
    <col min="14090" max="14090" width="0.5703125" style="119" customWidth="1"/>
    <col min="14091" max="14091" width="5.7109375" style="119" customWidth="1"/>
    <col min="14092" max="14092" width="9.28515625" style="119" customWidth="1"/>
    <col min="14093" max="14093" width="28.7109375" style="119" customWidth="1"/>
    <col min="14094" max="14161" width="5.7109375" style="119" customWidth="1"/>
    <col min="14162" max="14336" width="12.5703125" style="119"/>
    <col min="14337" max="14337" width="3.42578125" style="119" customWidth="1"/>
    <col min="14338" max="14338" width="29.140625" style="119" customWidth="1"/>
    <col min="14339" max="14342" width="14.7109375" style="119" customWidth="1"/>
    <col min="14343" max="14343" width="14.140625" style="119" customWidth="1"/>
    <col min="14344" max="14345" width="13.7109375" style="119" customWidth="1"/>
    <col min="14346" max="14346" width="0.5703125" style="119" customWidth="1"/>
    <col min="14347" max="14347" width="5.7109375" style="119" customWidth="1"/>
    <col min="14348" max="14348" width="9.28515625" style="119" customWidth="1"/>
    <col min="14349" max="14349" width="28.7109375" style="119" customWidth="1"/>
    <col min="14350" max="14417" width="5.7109375" style="119" customWidth="1"/>
    <col min="14418" max="14592" width="12.5703125" style="119"/>
    <col min="14593" max="14593" width="3.42578125" style="119" customWidth="1"/>
    <col min="14594" max="14594" width="29.140625" style="119" customWidth="1"/>
    <col min="14595" max="14598" width="14.7109375" style="119" customWidth="1"/>
    <col min="14599" max="14599" width="14.140625" style="119" customWidth="1"/>
    <col min="14600" max="14601" width="13.7109375" style="119" customWidth="1"/>
    <col min="14602" max="14602" width="0.5703125" style="119" customWidth="1"/>
    <col min="14603" max="14603" width="5.7109375" style="119" customWidth="1"/>
    <col min="14604" max="14604" width="9.28515625" style="119" customWidth="1"/>
    <col min="14605" max="14605" width="28.7109375" style="119" customWidth="1"/>
    <col min="14606" max="14673" width="5.7109375" style="119" customWidth="1"/>
    <col min="14674" max="14848" width="12.5703125" style="119"/>
    <col min="14849" max="14849" width="3.42578125" style="119" customWidth="1"/>
    <col min="14850" max="14850" width="29.140625" style="119" customWidth="1"/>
    <col min="14851" max="14854" width="14.7109375" style="119" customWidth="1"/>
    <col min="14855" max="14855" width="14.140625" style="119" customWidth="1"/>
    <col min="14856" max="14857" width="13.7109375" style="119" customWidth="1"/>
    <col min="14858" max="14858" width="0.5703125" style="119" customWidth="1"/>
    <col min="14859" max="14859" width="5.7109375" style="119" customWidth="1"/>
    <col min="14860" max="14860" width="9.28515625" style="119" customWidth="1"/>
    <col min="14861" max="14861" width="28.7109375" style="119" customWidth="1"/>
    <col min="14862" max="14929" width="5.7109375" style="119" customWidth="1"/>
    <col min="14930" max="15104" width="12.5703125" style="119"/>
    <col min="15105" max="15105" width="3.42578125" style="119" customWidth="1"/>
    <col min="15106" max="15106" width="29.140625" style="119" customWidth="1"/>
    <col min="15107" max="15110" width="14.7109375" style="119" customWidth="1"/>
    <col min="15111" max="15111" width="14.140625" style="119" customWidth="1"/>
    <col min="15112" max="15113" width="13.7109375" style="119" customWidth="1"/>
    <col min="15114" max="15114" width="0.5703125" style="119" customWidth="1"/>
    <col min="15115" max="15115" width="5.7109375" style="119" customWidth="1"/>
    <col min="15116" max="15116" width="9.28515625" style="119" customWidth="1"/>
    <col min="15117" max="15117" width="28.7109375" style="119" customWidth="1"/>
    <col min="15118" max="15185" width="5.7109375" style="119" customWidth="1"/>
    <col min="15186" max="15360" width="12.5703125" style="119"/>
    <col min="15361" max="15361" width="3.42578125" style="119" customWidth="1"/>
    <col min="15362" max="15362" width="29.140625" style="119" customWidth="1"/>
    <col min="15363" max="15366" width="14.7109375" style="119" customWidth="1"/>
    <col min="15367" max="15367" width="14.140625" style="119" customWidth="1"/>
    <col min="15368" max="15369" width="13.7109375" style="119" customWidth="1"/>
    <col min="15370" max="15370" width="0.5703125" style="119" customWidth="1"/>
    <col min="15371" max="15371" width="5.7109375" style="119" customWidth="1"/>
    <col min="15372" max="15372" width="9.28515625" style="119" customWidth="1"/>
    <col min="15373" max="15373" width="28.7109375" style="119" customWidth="1"/>
    <col min="15374" max="15441" width="5.7109375" style="119" customWidth="1"/>
    <col min="15442" max="15616" width="12.5703125" style="119"/>
    <col min="15617" max="15617" width="3.42578125" style="119" customWidth="1"/>
    <col min="15618" max="15618" width="29.140625" style="119" customWidth="1"/>
    <col min="15619" max="15622" width="14.7109375" style="119" customWidth="1"/>
    <col min="15623" max="15623" width="14.140625" style="119" customWidth="1"/>
    <col min="15624" max="15625" width="13.7109375" style="119" customWidth="1"/>
    <col min="15626" max="15626" width="0.5703125" style="119" customWidth="1"/>
    <col min="15627" max="15627" width="5.7109375" style="119" customWidth="1"/>
    <col min="15628" max="15628" width="9.28515625" style="119" customWidth="1"/>
    <col min="15629" max="15629" width="28.7109375" style="119" customWidth="1"/>
    <col min="15630" max="15697" width="5.7109375" style="119" customWidth="1"/>
    <col min="15698" max="15872" width="12.5703125" style="119"/>
    <col min="15873" max="15873" width="3.42578125" style="119" customWidth="1"/>
    <col min="15874" max="15874" width="29.140625" style="119" customWidth="1"/>
    <col min="15875" max="15878" width="14.7109375" style="119" customWidth="1"/>
    <col min="15879" max="15879" width="14.140625" style="119" customWidth="1"/>
    <col min="15880" max="15881" width="13.7109375" style="119" customWidth="1"/>
    <col min="15882" max="15882" width="0.5703125" style="119" customWidth="1"/>
    <col min="15883" max="15883" width="5.7109375" style="119" customWidth="1"/>
    <col min="15884" max="15884" width="9.28515625" style="119" customWidth="1"/>
    <col min="15885" max="15885" width="28.7109375" style="119" customWidth="1"/>
    <col min="15886" max="15953" width="5.7109375" style="119" customWidth="1"/>
    <col min="15954" max="16128" width="12.5703125" style="119"/>
    <col min="16129" max="16129" width="3.42578125" style="119" customWidth="1"/>
    <col min="16130" max="16130" width="29.140625" style="119" customWidth="1"/>
    <col min="16131" max="16134" width="14.7109375" style="119" customWidth="1"/>
    <col min="16135" max="16135" width="14.140625" style="119" customWidth="1"/>
    <col min="16136" max="16137" width="13.7109375" style="119" customWidth="1"/>
    <col min="16138" max="16138" width="0.5703125" style="119" customWidth="1"/>
    <col min="16139" max="16139" width="5.7109375" style="119" customWidth="1"/>
    <col min="16140" max="16140" width="9.28515625" style="119" customWidth="1"/>
    <col min="16141" max="16141" width="28.7109375" style="119" customWidth="1"/>
    <col min="16142" max="16209" width="5.7109375" style="119" customWidth="1"/>
    <col min="16210" max="16384" width="12.5703125" style="119"/>
  </cols>
  <sheetData>
    <row r="1" spans="1:16" s="113" customFormat="1" ht="20.25" x14ac:dyDescent="0.3">
      <c r="A1" s="111" t="s">
        <v>660</v>
      </c>
      <c r="B1" s="112"/>
      <c r="C1" s="112"/>
      <c r="D1" s="112"/>
      <c r="E1" s="112"/>
      <c r="F1" s="112"/>
      <c r="G1" s="112"/>
      <c r="H1" s="112"/>
      <c r="I1" s="112"/>
    </row>
    <row r="2" spans="1:16" s="113" customFormat="1" x14ac:dyDescent="0.2">
      <c r="A2" s="221" t="s">
        <v>697</v>
      </c>
      <c r="B2" s="221"/>
      <c r="C2" s="221"/>
      <c r="D2" s="221"/>
      <c r="E2" s="221"/>
      <c r="F2" s="221"/>
      <c r="G2" s="221"/>
      <c r="H2" s="221"/>
      <c r="I2" s="221"/>
    </row>
    <row r="3" spans="1:16" s="113" customFormat="1" x14ac:dyDescent="0.2">
      <c r="A3" s="114" t="s">
        <v>679</v>
      </c>
      <c r="B3" s="112"/>
      <c r="C3" s="112"/>
      <c r="D3" s="112"/>
      <c r="E3" s="112"/>
      <c r="F3" s="112"/>
      <c r="G3" s="112"/>
      <c r="H3" s="112"/>
      <c r="I3" s="112"/>
    </row>
    <row r="4" spans="1:16" s="113" customFormat="1" ht="13.5" thickBot="1" x14ac:dyDescent="0.25">
      <c r="A4" s="222"/>
      <c r="B4" s="222"/>
      <c r="C4" s="222"/>
      <c r="D4" s="222"/>
      <c r="E4" s="222"/>
      <c r="F4" s="222"/>
      <c r="G4" s="222"/>
      <c r="H4" s="222"/>
      <c r="I4" s="222"/>
      <c r="J4" s="115"/>
    </row>
    <row r="5" spans="1:16" ht="4.5" customHeight="1" x14ac:dyDescent="0.2">
      <c r="A5" s="116"/>
      <c r="B5" s="117"/>
      <c r="C5" s="118"/>
      <c r="D5" s="118"/>
      <c r="E5" s="118"/>
      <c r="F5" s="118"/>
      <c r="G5" s="118"/>
      <c r="H5" s="118"/>
      <c r="I5" s="118"/>
      <c r="J5" s="118"/>
    </row>
    <row r="6" spans="1:16" ht="15" customHeight="1" x14ac:dyDescent="0.2">
      <c r="A6" s="223" t="s">
        <v>661</v>
      </c>
      <c r="B6" s="224"/>
      <c r="C6" s="225">
        <v>2017</v>
      </c>
      <c r="D6" s="226"/>
      <c r="E6" s="227" t="s">
        <v>696</v>
      </c>
      <c r="F6" s="228"/>
      <c r="G6" s="228"/>
      <c r="H6" s="229"/>
      <c r="I6" s="230" t="s">
        <v>662</v>
      </c>
      <c r="J6" s="120"/>
    </row>
    <row r="7" spans="1:16" ht="12.75" customHeight="1" x14ac:dyDescent="0.2">
      <c r="A7" s="223"/>
      <c r="B7" s="224"/>
      <c r="C7" s="231" t="s">
        <v>663</v>
      </c>
      <c r="D7" s="234" t="s">
        <v>680</v>
      </c>
      <c r="E7" s="234" t="s">
        <v>681</v>
      </c>
      <c r="F7" s="235" t="s">
        <v>664</v>
      </c>
      <c r="G7" s="216" t="s">
        <v>665</v>
      </c>
      <c r="H7" s="217"/>
      <c r="I7" s="230"/>
      <c r="J7" s="121"/>
    </row>
    <row r="8" spans="1:16" ht="12.75" customHeight="1" x14ac:dyDescent="0.2">
      <c r="A8" s="223"/>
      <c r="B8" s="224"/>
      <c r="C8" s="232"/>
      <c r="D8" s="219"/>
      <c r="E8" s="219"/>
      <c r="F8" s="230"/>
      <c r="G8" s="218" t="s">
        <v>682</v>
      </c>
      <c r="H8" s="218" t="s">
        <v>683</v>
      </c>
      <c r="I8" s="230"/>
      <c r="J8" s="121"/>
    </row>
    <row r="9" spans="1:16" x14ac:dyDescent="0.2">
      <c r="A9" s="223"/>
      <c r="B9" s="224"/>
      <c r="C9" s="233"/>
      <c r="D9" s="219"/>
      <c r="E9" s="219"/>
      <c r="F9" s="230"/>
      <c r="G9" s="219"/>
      <c r="H9" s="219"/>
      <c r="I9" s="230"/>
      <c r="J9" s="121"/>
    </row>
    <row r="10" spans="1:16" s="123" customFormat="1" ht="11.25" customHeight="1" x14ac:dyDescent="0.2">
      <c r="A10" s="223"/>
      <c r="B10" s="224"/>
      <c r="C10" s="158">
        <v>1</v>
      </c>
      <c r="D10" s="158">
        <v>2</v>
      </c>
      <c r="E10" s="158">
        <v>3</v>
      </c>
      <c r="F10" s="158">
        <v>4</v>
      </c>
      <c r="G10" s="159" t="s">
        <v>684</v>
      </c>
      <c r="H10" s="159" t="s">
        <v>685</v>
      </c>
      <c r="I10" s="160" t="s">
        <v>686</v>
      </c>
      <c r="J10" s="122"/>
    </row>
    <row r="11" spans="1:16" ht="4.5" customHeight="1" thickBot="1" x14ac:dyDescent="0.25">
      <c r="A11" s="124"/>
      <c r="B11" s="125"/>
      <c r="C11" s="214"/>
      <c r="D11" s="214"/>
      <c r="E11" s="126"/>
      <c r="F11" s="126"/>
      <c r="G11" s="126"/>
      <c r="H11" s="126"/>
      <c r="I11" s="126"/>
      <c r="J11" s="126"/>
    </row>
    <row r="12" spans="1:16" ht="8.1" customHeight="1" x14ac:dyDescent="0.2">
      <c r="B12" s="117"/>
      <c r="C12" s="128"/>
      <c r="D12" s="128"/>
      <c r="E12" s="166"/>
      <c r="F12" s="192"/>
      <c r="G12" s="166"/>
      <c r="H12" s="166"/>
      <c r="I12" s="128"/>
      <c r="J12" s="128"/>
    </row>
    <row r="13" spans="1:16" s="132" customFormat="1" ht="15" x14ac:dyDescent="0.25">
      <c r="A13" s="129" t="s">
        <v>666</v>
      </c>
      <c r="B13" s="167"/>
      <c r="C13" s="178">
        <f>+C14</f>
        <v>3603761351</v>
      </c>
      <c r="D13" s="178">
        <f>+D14</f>
        <v>3120750154</v>
      </c>
      <c r="E13" s="178">
        <f>+E14</f>
        <v>3120750154</v>
      </c>
      <c r="F13" s="178">
        <f>+F14</f>
        <v>3154212777</v>
      </c>
      <c r="G13" s="178">
        <f>+G14</f>
        <v>33462623</v>
      </c>
      <c r="H13" s="168">
        <f>IF(E13=0,0,(F13/E13)-1)*100</f>
        <v>1.0722621596961135</v>
      </c>
      <c r="I13" s="168">
        <f>IF(D13=0,0,(F13/D13)*100)</f>
        <v>101.07226215969611</v>
      </c>
      <c r="J13" s="130"/>
      <c r="K13" s="131"/>
      <c r="L13" s="220"/>
      <c r="M13" s="220"/>
      <c r="P13" s="131"/>
    </row>
    <row r="14" spans="1:16" s="132" customFormat="1" ht="15" x14ac:dyDescent="0.25">
      <c r="A14" s="134"/>
      <c r="B14" s="135" t="s">
        <v>687</v>
      </c>
      <c r="C14" s="181">
        <v>3603761351</v>
      </c>
      <c r="D14" s="181">
        <v>3120750154</v>
      </c>
      <c r="E14" s="181">
        <v>3120750154</v>
      </c>
      <c r="F14" s="193">
        <v>3154212777</v>
      </c>
      <c r="G14" s="182">
        <f>F14-E14</f>
        <v>33462623</v>
      </c>
      <c r="H14" s="164">
        <f>IF(E14=0,0,(F14/E14)-1)*100</f>
        <v>1.0722621596961135</v>
      </c>
      <c r="I14" s="164">
        <f>IF(D14=0,0,(F14/D14)*100)</f>
        <v>101.07226215969611</v>
      </c>
      <c r="J14" s="130"/>
      <c r="K14" s="131"/>
      <c r="L14" s="131"/>
      <c r="P14" s="131"/>
    </row>
    <row r="15" spans="1:16" s="137" customFormat="1" ht="8.1" customHeight="1" x14ac:dyDescent="0.25">
      <c r="A15" s="134"/>
      <c r="B15" s="210"/>
      <c r="C15" s="211"/>
      <c r="D15" s="211"/>
      <c r="E15" s="211"/>
      <c r="F15" s="212"/>
      <c r="G15" s="183"/>
      <c r="H15" s="172"/>
      <c r="I15" s="172"/>
      <c r="J15" s="136"/>
    </row>
    <row r="16" spans="1:16" s="132" customFormat="1" ht="15.75" x14ac:dyDescent="0.25">
      <c r="A16" s="138" t="s">
        <v>667</v>
      </c>
      <c r="B16" s="173"/>
      <c r="C16" s="184">
        <f>+C18+C24+C27+C23</f>
        <v>3366961351</v>
      </c>
      <c r="D16" s="184">
        <f>+D18+D24+D27+D23</f>
        <v>3116380180</v>
      </c>
      <c r="E16" s="184">
        <f>+E18+E24+E27+E23</f>
        <v>3116380180</v>
      </c>
      <c r="F16" s="184">
        <f>+F18+F24+F28+F23</f>
        <v>2798250674.2900004</v>
      </c>
      <c r="G16" s="184">
        <f>+G18+G24+G28+G23</f>
        <v>-322499479.70999974</v>
      </c>
      <c r="H16" s="174">
        <f t="shared" ref="H16:H26" si="0">IF(E16=0,0,(F16/E16)-1)*100</f>
        <v>-10.208302175442519</v>
      </c>
      <c r="I16" s="174">
        <f>IF(D16=0,0,(F16/D16)*100)</f>
        <v>89.791697824557488</v>
      </c>
      <c r="J16" s="130"/>
      <c r="K16" s="131"/>
      <c r="L16" s="131"/>
      <c r="M16" s="175"/>
      <c r="P16" s="131"/>
    </row>
    <row r="17" spans="1:16" s="142" customFormat="1" ht="4.5" customHeight="1" x14ac:dyDescent="0.15">
      <c r="A17" s="139"/>
      <c r="B17" s="140"/>
      <c r="C17" s="185"/>
      <c r="D17" s="185"/>
      <c r="E17" s="185"/>
      <c r="F17" s="194"/>
      <c r="G17" s="186"/>
      <c r="H17" s="161"/>
      <c r="I17" s="161">
        <f>IF(C17=0,0,(F17/C17)*100)</f>
        <v>0</v>
      </c>
      <c r="J17" s="141"/>
    </row>
    <row r="18" spans="1:16" s="132" customFormat="1" ht="15" x14ac:dyDescent="0.25">
      <c r="A18" s="143"/>
      <c r="B18" s="167" t="s">
        <v>668</v>
      </c>
      <c r="C18" s="178">
        <f>SUM(C19:C22)</f>
        <v>2681293315</v>
      </c>
      <c r="D18" s="178">
        <f>SUM(D19:D22)</f>
        <v>2668844828</v>
      </c>
      <c r="E18" s="178">
        <f>SUM(E19:E22)</f>
        <v>2668844828</v>
      </c>
      <c r="F18" s="179">
        <f>SUM(F19:F22)</f>
        <v>2383291494.7200003</v>
      </c>
      <c r="G18" s="179">
        <f t="shared" ref="G18:G24" si="1">F18-E18</f>
        <v>-285553333.27999973</v>
      </c>
      <c r="H18" s="168">
        <f t="shared" si="0"/>
        <v>-10.699510525457933</v>
      </c>
      <c r="I18" s="168">
        <f t="shared" ref="I18:I26" si="2">IF(D18=0,0,(F18/D18)*100)</f>
        <v>89.300489474542061</v>
      </c>
      <c r="J18" s="130"/>
      <c r="K18" s="131"/>
      <c r="L18" s="131"/>
      <c r="M18" s="142"/>
      <c r="P18" s="131"/>
    </row>
    <row r="19" spans="1:16" s="146" customFormat="1" ht="15" x14ac:dyDescent="0.25">
      <c r="A19" s="134"/>
      <c r="B19" s="133" t="s">
        <v>669</v>
      </c>
      <c r="C19" s="187">
        <v>1332091795</v>
      </c>
      <c r="D19" s="187">
        <v>1415654505</v>
      </c>
      <c r="E19" s="187">
        <v>1415654505</v>
      </c>
      <c r="F19" s="187">
        <v>1396272846</v>
      </c>
      <c r="G19" s="182">
        <f>F19-E19</f>
        <v>-19381659</v>
      </c>
      <c r="H19" s="164">
        <f t="shared" si="0"/>
        <v>-1.3690952793598443</v>
      </c>
      <c r="I19" s="164">
        <f t="shared" si="2"/>
        <v>98.63090472064016</v>
      </c>
      <c r="J19" s="144"/>
      <c r="K19" s="145"/>
      <c r="L19" s="145"/>
      <c r="M19" s="145"/>
      <c r="O19" s="215"/>
      <c r="P19" s="145"/>
    </row>
    <row r="20" spans="1:16" s="146" customFormat="1" ht="15" x14ac:dyDescent="0.25">
      <c r="A20" s="134"/>
      <c r="B20" s="135" t="s">
        <v>670</v>
      </c>
      <c r="C20" s="187">
        <v>47000000</v>
      </c>
      <c r="D20" s="187">
        <v>47000000</v>
      </c>
      <c r="E20" s="187">
        <v>47000000</v>
      </c>
      <c r="F20" s="193">
        <v>23427721</v>
      </c>
      <c r="G20" s="180">
        <f t="shared" si="1"/>
        <v>-23572279</v>
      </c>
      <c r="H20" s="165">
        <f t="shared" si="0"/>
        <v>-50.153785106382976</v>
      </c>
      <c r="I20" s="165">
        <f t="shared" si="2"/>
        <v>49.846214893617017</v>
      </c>
      <c r="J20" s="144"/>
      <c r="K20" s="145"/>
      <c r="L20" s="145"/>
      <c r="M20" s="162"/>
      <c r="P20" s="145"/>
    </row>
    <row r="21" spans="1:16" s="146" customFormat="1" ht="15" x14ac:dyDescent="0.25">
      <c r="A21" s="134"/>
      <c r="B21" s="135" t="s">
        <v>671</v>
      </c>
      <c r="C21" s="187">
        <v>1300101520</v>
      </c>
      <c r="D21" s="187">
        <v>1203618530</v>
      </c>
      <c r="E21" s="187">
        <v>1203618530</v>
      </c>
      <c r="F21" s="193">
        <v>962408027.72000003</v>
      </c>
      <c r="G21" s="180">
        <f t="shared" si="1"/>
        <v>-241210502.27999997</v>
      </c>
      <c r="H21" s="165">
        <f t="shared" si="0"/>
        <v>-20.040444398940917</v>
      </c>
      <c r="I21" s="165">
        <f t="shared" si="2"/>
        <v>79.95955560105908</v>
      </c>
      <c r="J21" s="144"/>
      <c r="K21" s="145"/>
      <c r="L21" s="163"/>
      <c r="P21" s="145"/>
    </row>
    <row r="22" spans="1:16" s="146" customFormat="1" ht="15" x14ac:dyDescent="0.25">
      <c r="A22" s="134"/>
      <c r="B22" s="135" t="s">
        <v>672</v>
      </c>
      <c r="C22" s="191">
        <v>2100000</v>
      </c>
      <c r="D22" s="191">
        <v>2571793</v>
      </c>
      <c r="E22" s="191">
        <v>2571793</v>
      </c>
      <c r="F22" s="193">
        <v>1182900</v>
      </c>
      <c r="G22" s="180">
        <f t="shared" si="1"/>
        <v>-1388893</v>
      </c>
      <c r="H22" s="165">
        <f t="shared" si="0"/>
        <v>-54.004851867938044</v>
      </c>
      <c r="I22" s="165">
        <f t="shared" si="2"/>
        <v>45.995148132061949</v>
      </c>
      <c r="J22" s="144"/>
      <c r="K22" s="145"/>
      <c r="L22" s="145"/>
      <c r="P22" s="145"/>
    </row>
    <row r="23" spans="1:16" s="146" customFormat="1" ht="18.75" customHeight="1" x14ac:dyDescent="0.25">
      <c r="A23" s="147"/>
      <c r="B23" s="167" t="s">
        <v>673</v>
      </c>
      <c r="C23" s="188">
        <v>117200300</v>
      </c>
      <c r="D23" s="188">
        <v>179067616</v>
      </c>
      <c r="E23" s="188">
        <v>179067616</v>
      </c>
      <c r="F23" s="195">
        <f>162865583+15671221.57</f>
        <v>178536804.56999999</v>
      </c>
      <c r="G23" s="189">
        <f>F23-E23</f>
        <v>-530811.43000000715</v>
      </c>
      <c r="H23" s="171">
        <f t="shared" si="0"/>
        <v>-0.29643072368820134</v>
      </c>
      <c r="I23" s="171">
        <f t="shared" si="2"/>
        <v>99.703569276311796</v>
      </c>
      <c r="J23" s="144"/>
      <c r="K23" s="145"/>
      <c r="L23" s="145"/>
      <c r="M23" s="170"/>
      <c r="P23" s="145"/>
    </row>
    <row r="24" spans="1:16" s="146" customFormat="1" ht="15.75" x14ac:dyDescent="0.25">
      <c r="A24" s="147"/>
      <c r="B24" s="169" t="s">
        <v>674</v>
      </c>
      <c r="C24" s="188">
        <f>+C25+C26</f>
        <v>568467736</v>
      </c>
      <c r="D24" s="188">
        <f>+D25+D26</f>
        <v>268467736</v>
      </c>
      <c r="E24" s="188">
        <f>+E25+E26</f>
        <v>268467736</v>
      </c>
      <c r="F24" s="195">
        <f>+F25+F26</f>
        <v>215573133</v>
      </c>
      <c r="G24" s="189">
        <f t="shared" si="1"/>
        <v>-52894603</v>
      </c>
      <c r="H24" s="171">
        <f t="shared" si="0"/>
        <v>-19.702405878671392</v>
      </c>
      <c r="I24" s="171">
        <f t="shared" si="2"/>
        <v>80.297594121328615</v>
      </c>
      <c r="J24" s="144"/>
      <c r="K24" s="145"/>
      <c r="L24" s="145"/>
      <c r="M24" s="209"/>
      <c r="P24" s="145"/>
    </row>
    <row r="25" spans="1:16" s="146" customFormat="1" ht="15" x14ac:dyDescent="0.25">
      <c r="A25" s="134"/>
      <c r="B25" s="149" t="s">
        <v>675</v>
      </c>
      <c r="C25" s="190">
        <v>120428092</v>
      </c>
      <c r="D25" s="190">
        <v>25245872</v>
      </c>
      <c r="E25" s="190">
        <v>25245872</v>
      </c>
      <c r="F25" s="196">
        <v>16042907</v>
      </c>
      <c r="G25" s="180">
        <f>F25-E25</f>
        <v>-9202965</v>
      </c>
      <c r="H25" s="165">
        <f t="shared" si="0"/>
        <v>-36.453345719252638</v>
      </c>
      <c r="I25" s="165">
        <f t="shared" si="2"/>
        <v>63.546654280747362</v>
      </c>
      <c r="J25" s="144"/>
      <c r="K25" s="145"/>
      <c r="L25" s="145"/>
      <c r="P25" s="145"/>
    </row>
    <row r="26" spans="1:16" s="146" customFormat="1" ht="15" x14ac:dyDescent="0.25">
      <c r="A26" s="134"/>
      <c r="B26" s="149" t="s">
        <v>676</v>
      </c>
      <c r="C26" s="190">
        <v>448039644</v>
      </c>
      <c r="D26" s="190">
        <v>243221864</v>
      </c>
      <c r="E26" s="190">
        <v>243221864</v>
      </c>
      <c r="F26" s="196">
        <v>199530226</v>
      </c>
      <c r="G26" s="180">
        <f>F26-E26</f>
        <v>-43691638</v>
      </c>
      <c r="H26" s="165">
        <f t="shared" si="0"/>
        <v>-17.963696717660216</v>
      </c>
      <c r="I26" s="165">
        <f t="shared" si="2"/>
        <v>82.036303282339787</v>
      </c>
      <c r="J26" s="144"/>
      <c r="K26" s="145"/>
      <c r="L26" s="145"/>
      <c r="P26" s="145"/>
    </row>
    <row r="27" spans="1:16" s="137" customFormat="1" ht="12.75" customHeight="1" x14ac:dyDescent="0.25">
      <c r="A27" s="150"/>
      <c r="B27" s="199"/>
      <c r="C27" s="200"/>
      <c r="D27" s="200"/>
      <c r="E27" s="200"/>
      <c r="F27" s="196"/>
      <c r="G27" s="197"/>
      <c r="H27" s="110"/>
      <c r="I27" s="110"/>
      <c r="J27" s="136"/>
    </row>
    <row r="28" spans="1:16" s="137" customFormat="1" ht="12.75" customHeight="1" x14ac:dyDescent="0.25">
      <c r="A28" s="150"/>
      <c r="B28" s="135" t="s">
        <v>692</v>
      </c>
      <c r="C28" s="200">
        <v>236800000</v>
      </c>
      <c r="D28" s="200">
        <v>4369974</v>
      </c>
      <c r="E28" s="200">
        <v>4369974</v>
      </c>
      <c r="F28" s="200">
        <v>20849242</v>
      </c>
      <c r="G28" s="180">
        <f>F28-E28</f>
        <v>16479268</v>
      </c>
      <c r="H28" s="165">
        <f>IF(E28=0,0,(F28/E28)-1)*100</f>
        <v>377.10219786204675</v>
      </c>
      <c r="I28" s="165">
        <f>IF(D28=0,0,(F28/D28)*100)</f>
        <v>477.10219786204675</v>
      </c>
      <c r="J28" s="136"/>
      <c r="M28" s="123"/>
    </row>
    <row r="29" spans="1:16" s="137" customFormat="1" ht="16.5" customHeight="1" x14ac:dyDescent="0.25">
      <c r="A29" s="150"/>
      <c r="B29" s="173" t="s">
        <v>677</v>
      </c>
      <c r="C29" s="213">
        <f>+C13-C16-C28</f>
        <v>0</v>
      </c>
      <c r="D29" s="213">
        <f>+D13-D16-D28</f>
        <v>0</v>
      </c>
      <c r="E29" s="213">
        <f>+E13-E16-E28</f>
        <v>0</v>
      </c>
      <c r="F29" s="213">
        <f>+F13-F16</f>
        <v>355962102.70999956</v>
      </c>
      <c r="G29" s="184"/>
      <c r="H29" s="174"/>
      <c r="I29" s="174">
        <f>IF(D29=0,0,(F29/D29)*100)</f>
        <v>0</v>
      </c>
      <c r="J29" s="136"/>
      <c r="N29" s="177"/>
    </row>
    <row r="30" spans="1:16" s="146" customFormat="1" ht="31.5" hidden="1" customHeight="1" x14ac:dyDescent="0.25">
      <c r="A30" s="147"/>
      <c r="B30" s="151" t="s">
        <v>678</v>
      </c>
      <c r="C30" s="148">
        <v>0</v>
      </c>
      <c r="D30" s="152">
        <v>0</v>
      </c>
      <c r="E30" s="152">
        <v>0</v>
      </c>
      <c r="F30" s="152">
        <v>0</v>
      </c>
      <c r="G30" s="153">
        <v>0</v>
      </c>
      <c r="H30" s="153">
        <v>0</v>
      </c>
      <c r="I30" s="154">
        <f>D30-F30</f>
        <v>0</v>
      </c>
      <c r="J30" s="144"/>
      <c r="K30" s="145"/>
      <c r="L30" s="145"/>
      <c r="P30" s="145"/>
    </row>
    <row r="31" spans="1:16" s="157" customFormat="1" ht="13.5" customHeight="1" x14ac:dyDescent="0.25">
      <c r="A31" s="147"/>
      <c r="B31" s="204"/>
      <c r="C31" s="205"/>
      <c r="D31" s="206"/>
      <c r="E31" s="206"/>
      <c r="F31" s="206"/>
      <c r="G31" s="207"/>
      <c r="H31" s="207"/>
      <c r="I31" s="208"/>
      <c r="J31" s="203"/>
      <c r="M31" s="176"/>
    </row>
    <row r="32" spans="1:16" ht="19.5" customHeight="1" x14ac:dyDescent="0.2">
      <c r="A32" s="155" t="s">
        <v>688</v>
      </c>
      <c r="B32" s="156"/>
      <c r="C32" s="156"/>
      <c r="D32" s="156"/>
      <c r="E32" s="156"/>
      <c r="F32" s="156"/>
      <c r="G32" s="156"/>
      <c r="H32" s="198"/>
      <c r="I32" s="198"/>
      <c r="J32" s="156"/>
      <c r="K32" s="201"/>
    </row>
    <row r="33" spans="1:11" x14ac:dyDescent="0.2">
      <c r="A33" s="108"/>
      <c r="B33" s="108"/>
      <c r="C33" s="108"/>
      <c r="D33" s="108"/>
      <c r="E33" s="108"/>
      <c r="F33" s="108"/>
      <c r="G33" s="108"/>
      <c r="H33" s="108"/>
      <c r="I33" s="108"/>
      <c r="J33" s="109"/>
      <c r="K33" s="201"/>
    </row>
    <row r="34" spans="1:11" x14ac:dyDescent="0.2">
      <c r="A34" s="107"/>
      <c r="B34" s="109"/>
      <c r="C34" s="109"/>
      <c r="D34" s="109"/>
      <c r="E34" s="109"/>
      <c r="F34" s="109"/>
      <c r="G34" s="109"/>
      <c r="H34" s="109"/>
      <c r="I34" s="109"/>
      <c r="J34" s="109"/>
      <c r="K34" s="201"/>
    </row>
    <row r="35" spans="1:11" x14ac:dyDescent="0.2">
      <c r="A35" s="202"/>
      <c r="B35" s="201"/>
      <c r="C35" s="201"/>
      <c r="D35" s="201"/>
      <c r="E35" s="201"/>
      <c r="F35" s="201"/>
      <c r="G35" s="201"/>
      <c r="H35" s="201"/>
      <c r="I35" s="201"/>
      <c r="J35" s="201"/>
      <c r="K35" s="201"/>
    </row>
    <row r="36" spans="1:11" x14ac:dyDescent="0.2">
      <c r="A36" s="202"/>
      <c r="B36" s="201"/>
      <c r="C36" s="201"/>
      <c r="D36" s="201"/>
      <c r="E36" s="201"/>
      <c r="F36" s="201"/>
      <c r="G36" s="201"/>
      <c r="H36" s="201"/>
      <c r="I36" s="201"/>
      <c r="J36" s="201"/>
      <c r="K36" s="201"/>
    </row>
    <row r="37" spans="1:11" x14ac:dyDescent="0.2">
      <c r="A37" s="202"/>
      <c r="B37" s="201"/>
      <c r="C37" s="201"/>
      <c r="D37" s="201"/>
      <c r="E37" s="201"/>
      <c r="F37" s="201"/>
      <c r="G37" s="201"/>
      <c r="H37" s="201"/>
      <c r="I37" s="201"/>
      <c r="J37" s="201"/>
      <c r="K37" s="201"/>
    </row>
    <row r="38" spans="1:11" x14ac:dyDescent="0.2">
      <c r="A38" s="202"/>
      <c r="B38" s="201"/>
      <c r="C38" s="201"/>
      <c r="D38" s="201"/>
      <c r="E38" s="201"/>
      <c r="F38" s="201"/>
      <c r="G38" s="201"/>
      <c r="H38" s="201"/>
      <c r="I38" s="201"/>
      <c r="J38" s="201"/>
      <c r="K38" s="201"/>
    </row>
    <row r="39" spans="1:11" x14ac:dyDescent="0.2">
      <c r="A39" s="202"/>
      <c r="B39" s="201"/>
      <c r="C39" s="201"/>
      <c r="D39" s="201"/>
      <c r="E39" s="201"/>
      <c r="F39" s="201"/>
      <c r="G39" s="201"/>
      <c r="H39" s="201"/>
      <c r="I39" s="201"/>
      <c r="J39" s="201"/>
      <c r="K39" s="201"/>
    </row>
    <row r="40" spans="1:11" x14ac:dyDescent="0.2">
      <c r="A40" s="202"/>
      <c r="B40" s="201"/>
      <c r="C40" s="201"/>
      <c r="D40" s="201"/>
      <c r="E40" s="201"/>
      <c r="F40" s="201"/>
      <c r="G40" s="201"/>
      <c r="H40" s="201"/>
      <c r="I40" s="201"/>
      <c r="J40" s="201"/>
      <c r="K40" s="201"/>
    </row>
    <row r="41" spans="1:11" x14ac:dyDescent="0.2">
      <c r="A41" s="202"/>
      <c r="B41" s="201"/>
      <c r="C41" s="201"/>
      <c r="D41" s="201"/>
      <c r="E41" s="201"/>
      <c r="F41" s="201"/>
      <c r="G41" s="201"/>
      <c r="H41" s="201"/>
      <c r="I41" s="201"/>
      <c r="J41" s="201"/>
      <c r="K41" s="201"/>
    </row>
    <row r="42" spans="1:11" x14ac:dyDescent="0.2">
      <c r="A42" s="202"/>
      <c r="B42" s="201"/>
      <c r="C42" s="201"/>
      <c r="D42" s="201"/>
      <c r="E42" s="201"/>
      <c r="F42" s="201"/>
      <c r="G42" s="201"/>
      <c r="H42" s="201"/>
      <c r="I42" s="201"/>
      <c r="J42" s="201"/>
      <c r="K42" s="201"/>
    </row>
    <row r="43" spans="1:11" x14ac:dyDescent="0.2">
      <c r="A43" s="202"/>
      <c r="B43" s="201"/>
      <c r="C43" s="201"/>
      <c r="D43" s="201"/>
      <c r="E43" s="201"/>
      <c r="F43" s="201"/>
      <c r="G43" s="201"/>
      <c r="H43" s="201"/>
      <c r="I43" s="201"/>
      <c r="J43" s="201"/>
      <c r="K43" s="201"/>
    </row>
    <row r="44" spans="1:11" x14ac:dyDescent="0.2">
      <c r="A44" s="202"/>
      <c r="B44" s="201"/>
      <c r="C44" s="201"/>
      <c r="D44" s="201"/>
      <c r="E44" s="201"/>
      <c r="F44" s="201"/>
      <c r="G44" s="201"/>
      <c r="H44" s="201"/>
      <c r="I44" s="201"/>
      <c r="J44" s="201"/>
      <c r="K44" s="201"/>
    </row>
    <row r="45" spans="1:11" x14ac:dyDescent="0.2">
      <c r="A45" s="202"/>
      <c r="B45" s="201"/>
      <c r="C45" s="201"/>
      <c r="D45" s="201"/>
      <c r="E45" s="201"/>
      <c r="F45" s="201"/>
      <c r="G45" s="201"/>
      <c r="H45" s="201"/>
      <c r="I45" s="201"/>
      <c r="J45" s="201"/>
      <c r="K45" s="201"/>
    </row>
    <row r="46" spans="1:11" x14ac:dyDescent="0.2">
      <c r="A46" s="202"/>
      <c r="B46" s="201"/>
      <c r="C46" s="201"/>
      <c r="D46" s="201"/>
      <c r="E46" s="201"/>
      <c r="F46" s="201"/>
      <c r="G46" s="201"/>
      <c r="H46" s="201"/>
      <c r="I46" s="201"/>
      <c r="J46" s="201"/>
      <c r="K46" s="201"/>
    </row>
    <row r="47" spans="1:11" x14ac:dyDescent="0.2">
      <c r="A47" s="202"/>
      <c r="B47" s="201"/>
      <c r="C47" s="201"/>
      <c r="D47" s="201"/>
      <c r="E47" s="201"/>
      <c r="F47" s="201"/>
      <c r="G47" s="201"/>
      <c r="H47" s="201"/>
      <c r="I47" s="201"/>
      <c r="J47" s="201"/>
      <c r="K47" s="201"/>
    </row>
    <row r="48" spans="1:11" x14ac:dyDescent="0.2">
      <c r="A48" s="202"/>
      <c r="B48" s="201"/>
      <c r="C48" s="201"/>
      <c r="D48" s="201"/>
      <c r="E48" s="201"/>
      <c r="F48" s="201"/>
      <c r="G48" s="201"/>
      <c r="H48" s="201"/>
      <c r="I48" s="201"/>
      <c r="J48" s="201"/>
      <c r="K48" s="201"/>
    </row>
    <row r="49" spans="1:11" x14ac:dyDescent="0.2">
      <c r="A49" s="202"/>
      <c r="B49" s="201"/>
      <c r="C49" s="201"/>
      <c r="D49" s="201"/>
      <c r="E49" s="201"/>
      <c r="F49" s="201"/>
      <c r="G49" s="201"/>
      <c r="H49" s="201"/>
      <c r="I49" s="201"/>
      <c r="J49" s="201"/>
      <c r="K49" s="201"/>
    </row>
    <row r="50" spans="1:11" x14ac:dyDescent="0.2">
      <c r="A50" s="202"/>
      <c r="B50" s="201"/>
      <c r="C50" s="201"/>
      <c r="D50" s="201"/>
      <c r="E50" s="201"/>
      <c r="F50" s="201"/>
      <c r="G50" s="201"/>
      <c r="H50" s="201"/>
      <c r="I50" s="201"/>
      <c r="J50" s="201"/>
      <c r="K50" s="201"/>
    </row>
    <row r="51" spans="1:11" x14ac:dyDescent="0.2">
      <c r="A51" s="202"/>
      <c r="B51" s="201"/>
      <c r="C51" s="201"/>
      <c r="D51" s="201"/>
      <c r="E51" s="201"/>
      <c r="F51" s="201"/>
      <c r="G51" s="201"/>
      <c r="H51" s="201"/>
      <c r="I51" s="201"/>
      <c r="J51" s="201"/>
      <c r="K51" s="201"/>
    </row>
    <row r="52" spans="1:11" x14ac:dyDescent="0.2">
      <c r="A52" s="202"/>
      <c r="B52" s="201"/>
      <c r="C52" s="201"/>
      <c r="D52" s="201"/>
      <c r="E52" s="201"/>
      <c r="F52" s="201"/>
      <c r="G52" s="201"/>
      <c r="H52" s="201"/>
      <c r="I52" s="201"/>
      <c r="J52" s="201"/>
      <c r="K52" s="201"/>
    </row>
    <row r="53" spans="1:11" x14ac:dyDescent="0.2">
      <c r="A53" s="202"/>
      <c r="B53" s="201"/>
      <c r="C53" s="201"/>
      <c r="D53" s="201"/>
      <c r="E53" s="201"/>
      <c r="F53" s="201"/>
      <c r="G53" s="201"/>
      <c r="H53" s="201"/>
      <c r="I53" s="201"/>
      <c r="J53" s="201"/>
      <c r="K53" s="201"/>
    </row>
    <row r="54" spans="1:11" x14ac:dyDescent="0.2">
      <c r="A54" s="202"/>
      <c r="B54" s="201"/>
      <c r="C54" s="201"/>
      <c r="D54" s="201"/>
      <c r="E54" s="201"/>
      <c r="F54" s="201"/>
      <c r="G54" s="201"/>
      <c r="H54" s="201"/>
      <c r="I54" s="201"/>
      <c r="J54" s="201"/>
      <c r="K54" s="201"/>
    </row>
    <row r="55" spans="1:11" x14ac:dyDescent="0.2">
      <c r="A55" s="202"/>
      <c r="B55" s="201"/>
      <c r="C55" s="201"/>
      <c r="D55" s="201"/>
      <c r="E55" s="201"/>
      <c r="F55" s="201"/>
      <c r="G55" s="201"/>
      <c r="H55" s="201"/>
      <c r="I55" s="201"/>
      <c r="J55" s="201"/>
      <c r="K55" s="201"/>
    </row>
    <row r="56" spans="1:11" x14ac:dyDescent="0.2">
      <c r="A56" s="202"/>
      <c r="B56" s="201"/>
      <c r="C56" s="201"/>
      <c r="D56" s="201"/>
      <c r="E56" s="201"/>
      <c r="F56" s="201"/>
      <c r="G56" s="201"/>
      <c r="H56" s="201"/>
      <c r="I56" s="201"/>
      <c r="J56" s="201"/>
      <c r="K56" s="201"/>
    </row>
    <row r="57" spans="1:11" x14ac:dyDescent="0.2">
      <c r="A57" s="202"/>
      <c r="B57" s="201"/>
      <c r="C57" s="201"/>
      <c r="D57" s="201"/>
      <c r="E57" s="201"/>
      <c r="F57" s="201"/>
      <c r="G57" s="201"/>
      <c r="H57" s="201"/>
      <c r="I57" s="201"/>
      <c r="J57" s="201"/>
      <c r="K57" s="201"/>
    </row>
    <row r="58" spans="1:11" x14ac:dyDescent="0.2">
      <c r="A58" s="202"/>
      <c r="B58" s="201"/>
      <c r="C58" s="201"/>
      <c r="D58" s="201"/>
      <c r="E58" s="201"/>
      <c r="F58" s="201"/>
      <c r="G58" s="201"/>
      <c r="H58" s="201"/>
      <c r="I58" s="201"/>
      <c r="J58" s="201"/>
      <c r="K58" s="201"/>
    </row>
    <row r="59" spans="1:11" x14ac:dyDescent="0.2">
      <c r="A59" s="202"/>
      <c r="B59" s="201"/>
      <c r="C59" s="201"/>
      <c r="D59" s="201"/>
      <c r="E59" s="201"/>
      <c r="F59" s="201"/>
      <c r="G59" s="201"/>
      <c r="H59" s="201"/>
      <c r="I59" s="201"/>
      <c r="J59" s="201"/>
      <c r="K59" s="201"/>
    </row>
    <row r="60" spans="1:11" x14ac:dyDescent="0.2">
      <c r="A60" s="202"/>
      <c r="B60" s="201"/>
      <c r="C60" s="201"/>
      <c r="D60" s="201"/>
      <c r="E60" s="201"/>
      <c r="F60" s="201"/>
      <c r="G60" s="201"/>
      <c r="H60" s="201"/>
      <c r="I60" s="201"/>
      <c r="J60" s="201"/>
      <c r="K60" s="201"/>
    </row>
    <row r="61" spans="1:11" x14ac:dyDescent="0.2">
      <c r="A61" s="202"/>
      <c r="B61" s="201"/>
      <c r="C61" s="201"/>
      <c r="D61" s="201"/>
      <c r="E61" s="201"/>
      <c r="F61" s="201"/>
      <c r="G61" s="201"/>
      <c r="H61" s="201"/>
      <c r="I61" s="201"/>
      <c r="J61" s="201"/>
      <c r="K61" s="201"/>
    </row>
    <row r="62" spans="1:11" x14ac:dyDescent="0.2">
      <c r="A62" s="202"/>
      <c r="B62" s="201"/>
      <c r="C62" s="201"/>
      <c r="D62" s="201"/>
      <c r="E62" s="201"/>
      <c r="F62" s="201"/>
      <c r="G62" s="201"/>
      <c r="H62" s="201"/>
      <c r="I62" s="201"/>
      <c r="J62" s="201"/>
      <c r="K62" s="201"/>
    </row>
    <row r="63" spans="1:11" x14ac:dyDescent="0.2">
      <c r="A63" s="202"/>
      <c r="B63" s="201"/>
      <c r="C63" s="201"/>
      <c r="D63" s="201"/>
      <c r="E63" s="201"/>
      <c r="F63" s="201"/>
      <c r="G63" s="201"/>
      <c r="H63" s="201"/>
      <c r="I63" s="201"/>
      <c r="J63" s="201"/>
      <c r="K63" s="201"/>
    </row>
    <row r="64" spans="1:11" x14ac:dyDescent="0.2">
      <c r="A64" s="202"/>
      <c r="B64" s="201"/>
      <c r="C64" s="201"/>
      <c r="D64" s="201"/>
      <c r="E64" s="201"/>
      <c r="F64" s="201"/>
      <c r="G64" s="201"/>
      <c r="H64" s="201"/>
      <c r="I64" s="201"/>
      <c r="J64" s="201"/>
    </row>
    <row r="65" spans="1:10" x14ac:dyDescent="0.2">
      <c r="A65" s="202"/>
      <c r="B65" s="201"/>
      <c r="C65" s="201"/>
      <c r="D65" s="201"/>
      <c r="E65" s="201"/>
      <c r="F65" s="201"/>
      <c r="G65" s="201"/>
      <c r="H65" s="201"/>
      <c r="I65" s="201"/>
      <c r="J65" s="201"/>
    </row>
    <row r="66" spans="1:10" x14ac:dyDescent="0.2">
      <c r="A66" s="202"/>
      <c r="B66" s="201"/>
      <c r="C66" s="201"/>
      <c r="D66" s="201"/>
      <c r="E66" s="201"/>
      <c r="F66" s="201"/>
      <c r="G66" s="201"/>
      <c r="H66" s="201"/>
      <c r="I66" s="201"/>
    </row>
    <row r="67" spans="1:10" x14ac:dyDescent="0.2">
      <c r="A67" s="202"/>
      <c r="B67" s="201"/>
      <c r="C67" s="201"/>
      <c r="D67" s="201"/>
      <c r="E67" s="201"/>
      <c r="F67" s="201"/>
      <c r="G67" s="201"/>
      <c r="H67" s="201"/>
      <c r="I67" s="201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64"/>
  <sheetViews>
    <sheetView showGridLines="0" tabSelected="1" zoomScale="85" zoomScaleNormal="85" workbookViewId="0"/>
  </sheetViews>
  <sheetFormatPr baseColWidth="10" defaultRowHeight="12.75" x14ac:dyDescent="0.2"/>
  <cols>
    <col min="2" max="2" width="4.85546875" customWidth="1"/>
    <col min="3" max="3" width="4" customWidth="1"/>
    <col min="4" max="4" width="3.7109375" customWidth="1"/>
    <col min="5" max="8" width="3.140625" customWidth="1"/>
    <col min="9" max="9" width="3.42578125" customWidth="1"/>
    <col min="10" max="12" width="4.5703125" customWidth="1"/>
    <col min="13" max="13" width="5.7109375" customWidth="1"/>
    <col min="14" max="14" width="4.5703125" customWidth="1"/>
    <col min="16" max="16" width="39.7109375" customWidth="1"/>
    <col min="17" max="19" width="16.5703125" bestFit="1" customWidth="1"/>
    <col min="20" max="20" width="16.28515625" bestFit="1" customWidth="1"/>
    <col min="21" max="21" width="16.5703125" bestFit="1" customWidth="1"/>
    <col min="22" max="23" width="17.85546875" bestFit="1" customWidth="1"/>
    <col min="24" max="28" width="18.140625" bestFit="1" customWidth="1"/>
  </cols>
  <sheetData>
    <row r="1" spans="1:28" ht="24" thickTop="1" thickBot="1" x14ac:dyDescent="0.25">
      <c r="A1" s="105" t="s">
        <v>659</v>
      </c>
      <c r="B1" s="106" t="s">
        <v>658</v>
      </c>
      <c r="C1" s="106" t="s">
        <v>657</v>
      </c>
      <c r="D1" s="106" t="s">
        <v>656</v>
      </c>
      <c r="E1" s="106" t="s">
        <v>655</v>
      </c>
      <c r="F1" s="106" t="s">
        <v>654</v>
      </c>
      <c r="G1" s="106" t="s">
        <v>653</v>
      </c>
      <c r="H1" s="106" t="s">
        <v>652</v>
      </c>
      <c r="I1" s="236" t="s">
        <v>651</v>
      </c>
      <c r="J1" s="237"/>
      <c r="K1" s="237"/>
      <c r="L1" s="237"/>
      <c r="M1" s="237"/>
      <c r="N1" s="237"/>
      <c r="O1" s="237"/>
      <c r="P1" s="238"/>
      <c r="Q1" s="105" t="s">
        <v>650</v>
      </c>
      <c r="R1" s="105" t="s">
        <v>649</v>
      </c>
      <c r="S1" s="105" t="s">
        <v>648</v>
      </c>
      <c r="T1" s="105" t="s">
        <v>690</v>
      </c>
      <c r="U1" s="105" t="s">
        <v>691</v>
      </c>
      <c r="V1" s="105" t="s">
        <v>689</v>
      </c>
      <c r="W1" s="105" t="s">
        <v>693</v>
      </c>
      <c r="X1" s="105" t="s">
        <v>694</v>
      </c>
      <c r="Y1" s="105" t="s">
        <v>695</v>
      </c>
      <c r="Z1" s="105" t="s">
        <v>698</v>
      </c>
      <c r="AA1" s="105" t="s">
        <v>699</v>
      </c>
      <c r="AB1" s="105" t="s">
        <v>696</v>
      </c>
    </row>
    <row r="2" spans="1:28" ht="13.5" thickTop="1" x14ac:dyDescent="0.2">
      <c r="A2" s="104" t="s">
        <v>647</v>
      </c>
      <c r="B2" s="104">
        <v>1</v>
      </c>
      <c r="C2" s="104">
        <v>0</v>
      </c>
      <c r="D2" s="104">
        <v>0</v>
      </c>
      <c r="E2" s="104">
        <v>0</v>
      </c>
      <c r="F2" s="104">
        <v>0</v>
      </c>
      <c r="G2" s="104">
        <v>0</v>
      </c>
      <c r="H2" s="104">
        <v>0</v>
      </c>
      <c r="I2" s="103" t="s">
        <v>646</v>
      </c>
      <c r="J2" s="102"/>
      <c r="K2" s="102"/>
      <c r="L2" s="102"/>
      <c r="M2" s="102"/>
      <c r="N2" s="102"/>
      <c r="O2" s="102"/>
      <c r="P2" s="101"/>
      <c r="Q2" s="100">
        <f t="shared" ref="Q2:AB2" si="0">+Q3+Q107</f>
        <v>240680650</v>
      </c>
      <c r="R2" s="100">
        <f t="shared" si="0"/>
        <v>253715064</v>
      </c>
      <c r="S2" s="100">
        <f t="shared" si="0"/>
        <v>364645312.39999998</v>
      </c>
      <c r="T2" s="100">
        <f t="shared" si="0"/>
        <v>289079893.14999998</v>
      </c>
      <c r="U2" s="100">
        <f t="shared" si="0"/>
        <v>298783669</v>
      </c>
      <c r="V2" s="100">
        <f t="shared" si="0"/>
        <v>384132720.95999998</v>
      </c>
      <c r="W2" s="100">
        <f t="shared" si="0"/>
        <v>351991426.50999999</v>
      </c>
      <c r="X2" s="100">
        <f t="shared" si="0"/>
        <v>483366807.88</v>
      </c>
      <c r="Y2" s="100">
        <f t="shared" si="0"/>
        <v>325717459.53999996</v>
      </c>
      <c r="Z2" s="100">
        <f t="shared" si="0"/>
        <v>315741387</v>
      </c>
      <c r="AA2" s="100">
        <f t="shared" si="0"/>
        <v>370730033.54000002</v>
      </c>
      <c r="AB2" s="100">
        <f t="shared" si="0"/>
        <v>273782389.5</v>
      </c>
    </row>
    <row r="3" spans="1:28" x14ac:dyDescent="0.2">
      <c r="A3" s="20" t="s">
        <v>645</v>
      </c>
      <c r="B3" s="20">
        <v>1</v>
      </c>
      <c r="C3" s="20">
        <v>1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19"/>
      <c r="J3" s="26" t="s">
        <v>94</v>
      </c>
      <c r="K3" s="26"/>
      <c r="L3" s="26"/>
      <c r="M3" s="26"/>
      <c r="N3" s="26"/>
      <c r="O3" s="26"/>
      <c r="P3" s="99"/>
      <c r="Q3" s="15">
        <f t="shared" ref="Q3:AB3" si="1">+Q4+Q8+Q12+Q15+Q25+Q53+Q64+Q65</f>
        <v>240680650</v>
      </c>
      <c r="R3" s="15">
        <f t="shared" si="1"/>
        <v>253715064</v>
      </c>
      <c r="S3" s="15">
        <f t="shared" si="1"/>
        <v>364645312.39999998</v>
      </c>
      <c r="T3" s="15">
        <f t="shared" si="1"/>
        <v>289079893.14999998</v>
      </c>
      <c r="U3" s="15">
        <f t="shared" si="1"/>
        <v>298783669</v>
      </c>
      <c r="V3" s="15">
        <f t="shared" si="1"/>
        <v>384132720.95999998</v>
      </c>
      <c r="W3" s="15">
        <f t="shared" si="1"/>
        <v>351991426.50999999</v>
      </c>
      <c r="X3" s="15">
        <f t="shared" si="1"/>
        <v>483366807.88</v>
      </c>
      <c r="Y3" s="15">
        <f t="shared" si="1"/>
        <v>325717459.53999996</v>
      </c>
      <c r="Z3" s="15">
        <f t="shared" si="1"/>
        <v>315741387</v>
      </c>
      <c r="AA3" s="15">
        <f t="shared" si="1"/>
        <v>370730033.54000002</v>
      </c>
      <c r="AB3" s="15">
        <f t="shared" si="1"/>
        <v>273782389.5</v>
      </c>
    </row>
    <row r="4" spans="1:28" x14ac:dyDescent="0.2">
      <c r="A4" s="33" t="s">
        <v>644</v>
      </c>
      <c r="B4" s="33">
        <v>1</v>
      </c>
      <c r="C4" s="33">
        <v>1</v>
      </c>
      <c r="D4" s="33">
        <v>1</v>
      </c>
      <c r="E4" s="33">
        <v>0</v>
      </c>
      <c r="F4" s="33">
        <v>0</v>
      </c>
      <c r="G4" s="33">
        <v>0</v>
      </c>
      <c r="H4" s="33">
        <v>0</v>
      </c>
      <c r="I4" s="19"/>
      <c r="J4" s="26"/>
      <c r="K4" s="17" t="s">
        <v>643</v>
      </c>
      <c r="L4" s="17"/>
      <c r="M4" s="17"/>
      <c r="N4" s="17"/>
      <c r="O4" s="17"/>
      <c r="P4" s="31"/>
      <c r="Q4" s="30">
        <f t="shared" ref="Q4:AB4" si="2">+Q5</f>
        <v>0</v>
      </c>
      <c r="R4" s="30">
        <f t="shared" si="2"/>
        <v>0</v>
      </c>
      <c r="S4" s="30">
        <f t="shared" si="2"/>
        <v>0</v>
      </c>
      <c r="T4" s="30">
        <f t="shared" si="2"/>
        <v>0</v>
      </c>
      <c r="U4" s="30">
        <f t="shared" si="2"/>
        <v>0</v>
      </c>
      <c r="V4" s="30">
        <f t="shared" si="2"/>
        <v>0</v>
      </c>
      <c r="W4" s="30">
        <f t="shared" si="2"/>
        <v>0</v>
      </c>
      <c r="X4" s="30">
        <f t="shared" si="2"/>
        <v>0</v>
      </c>
      <c r="Y4" s="30">
        <f t="shared" si="2"/>
        <v>0</v>
      </c>
      <c r="Z4" s="30">
        <f t="shared" si="2"/>
        <v>0</v>
      </c>
      <c r="AA4" s="30">
        <f t="shared" si="2"/>
        <v>0</v>
      </c>
      <c r="AB4" s="30">
        <f t="shared" si="2"/>
        <v>0</v>
      </c>
    </row>
    <row r="5" spans="1:28" x14ac:dyDescent="0.2">
      <c r="A5" s="33" t="s">
        <v>642</v>
      </c>
      <c r="B5" s="33">
        <v>1</v>
      </c>
      <c r="C5" s="33">
        <v>1</v>
      </c>
      <c r="D5" s="33">
        <v>1</v>
      </c>
      <c r="E5" s="33">
        <v>3</v>
      </c>
      <c r="F5" s="33">
        <v>0</v>
      </c>
      <c r="G5" s="33">
        <v>0</v>
      </c>
      <c r="H5" s="33">
        <v>0</v>
      </c>
      <c r="I5" s="19"/>
      <c r="J5" s="26"/>
      <c r="K5" s="17"/>
      <c r="L5" s="17" t="s">
        <v>641</v>
      </c>
      <c r="M5" s="17"/>
      <c r="N5" s="17"/>
      <c r="O5" s="17"/>
      <c r="P5" s="31"/>
      <c r="Q5" s="30">
        <f t="shared" ref="Q5:AB5" si="3">+Q6+Q7</f>
        <v>0</v>
      </c>
      <c r="R5" s="30">
        <f t="shared" si="3"/>
        <v>0</v>
      </c>
      <c r="S5" s="30">
        <f t="shared" si="3"/>
        <v>0</v>
      </c>
      <c r="T5" s="30">
        <f t="shared" si="3"/>
        <v>0</v>
      </c>
      <c r="U5" s="30">
        <f t="shared" si="3"/>
        <v>0</v>
      </c>
      <c r="V5" s="30">
        <f t="shared" si="3"/>
        <v>0</v>
      </c>
      <c r="W5" s="30">
        <f t="shared" si="3"/>
        <v>0</v>
      </c>
      <c r="X5" s="30">
        <f t="shared" si="3"/>
        <v>0</v>
      </c>
      <c r="Y5" s="30">
        <f t="shared" si="3"/>
        <v>0</v>
      </c>
      <c r="Z5" s="30">
        <f t="shared" si="3"/>
        <v>0</v>
      </c>
      <c r="AA5" s="30">
        <f t="shared" si="3"/>
        <v>0</v>
      </c>
      <c r="AB5" s="30">
        <f t="shared" si="3"/>
        <v>0</v>
      </c>
    </row>
    <row r="6" spans="1:28" x14ac:dyDescent="0.2">
      <c r="A6" s="24" t="s">
        <v>640</v>
      </c>
      <c r="B6" s="24">
        <v>1</v>
      </c>
      <c r="C6" s="24">
        <v>1</v>
      </c>
      <c r="D6" s="24">
        <v>1</v>
      </c>
      <c r="E6" s="24">
        <v>3</v>
      </c>
      <c r="F6" s="24">
        <v>1</v>
      </c>
      <c r="G6" s="24">
        <v>0</v>
      </c>
      <c r="H6" s="24">
        <v>0</v>
      </c>
      <c r="I6" s="13"/>
      <c r="J6" s="12"/>
      <c r="K6" s="10"/>
      <c r="L6" s="10"/>
      <c r="M6" s="10" t="s">
        <v>633</v>
      </c>
      <c r="N6" s="10"/>
      <c r="O6" s="10"/>
      <c r="P6" s="71"/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</row>
    <row r="7" spans="1:28" x14ac:dyDescent="0.2">
      <c r="A7" s="24" t="s">
        <v>639</v>
      </c>
      <c r="B7" s="24">
        <v>1</v>
      </c>
      <c r="C7" s="24">
        <v>1</v>
      </c>
      <c r="D7" s="24">
        <v>1</v>
      </c>
      <c r="E7" s="24">
        <v>3</v>
      </c>
      <c r="F7" s="24">
        <v>2</v>
      </c>
      <c r="G7" s="24">
        <v>0</v>
      </c>
      <c r="H7" s="24">
        <v>0</v>
      </c>
      <c r="I7" s="13"/>
      <c r="J7" s="12"/>
      <c r="K7" s="10"/>
      <c r="L7" s="10"/>
      <c r="M7" s="10" t="s">
        <v>631</v>
      </c>
      <c r="N7" s="10"/>
      <c r="O7" s="10"/>
      <c r="P7" s="71"/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</row>
    <row r="8" spans="1:28" x14ac:dyDescent="0.2">
      <c r="A8" s="33" t="s">
        <v>638</v>
      </c>
      <c r="B8" s="33">
        <v>1</v>
      </c>
      <c r="C8" s="33">
        <v>1</v>
      </c>
      <c r="D8" s="33">
        <v>2</v>
      </c>
      <c r="E8" s="33">
        <v>1</v>
      </c>
      <c r="F8" s="33">
        <v>0</v>
      </c>
      <c r="G8" s="33">
        <v>0</v>
      </c>
      <c r="H8" s="33">
        <v>0</v>
      </c>
      <c r="I8" s="19"/>
      <c r="J8" s="26"/>
      <c r="K8" s="17" t="s">
        <v>637</v>
      </c>
      <c r="L8" s="32"/>
      <c r="M8" s="17"/>
      <c r="N8" s="17"/>
      <c r="O8" s="17"/>
      <c r="P8" s="31"/>
      <c r="Q8" s="30">
        <f t="shared" ref="Q8:AB8" si="4">+Q9</f>
        <v>162121492</v>
      </c>
      <c r="R8" s="30">
        <f t="shared" si="4"/>
        <v>177308084</v>
      </c>
      <c r="S8" s="30">
        <f t="shared" si="4"/>
        <v>242886721</v>
      </c>
      <c r="T8" s="30">
        <f t="shared" si="4"/>
        <v>201632115</v>
      </c>
      <c r="U8" s="30">
        <f t="shared" si="4"/>
        <v>206624819</v>
      </c>
      <c r="V8" s="30">
        <f t="shared" si="4"/>
        <v>284317547</v>
      </c>
      <c r="W8" s="30">
        <f t="shared" si="4"/>
        <v>235039488</v>
      </c>
      <c r="X8" s="30">
        <f t="shared" si="4"/>
        <v>290183449</v>
      </c>
      <c r="Y8" s="30">
        <f t="shared" si="4"/>
        <v>231015650.62</v>
      </c>
      <c r="Z8" s="30">
        <f t="shared" si="4"/>
        <v>219023442</v>
      </c>
      <c r="AA8" s="30">
        <f t="shared" si="4"/>
        <v>260010034</v>
      </c>
      <c r="AB8" s="30">
        <f t="shared" si="4"/>
        <v>197371008.59</v>
      </c>
    </row>
    <row r="9" spans="1:28" x14ac:dyDescent="0.2">
      <c r="A9" s="33" t="s">
        <v>636</v>
      </c>
      <c r="B9" s="33">
        <v>1</v>
      </c>
      <c r="C9" s="33">
        <v>1</v>
      </c>
      <c r="D9" s="33">
        <v>2</v>
      </c>
      <c r="E9" s="33">
        <v>1</v>
      </c>
      <c r="F9" s="33">
        <v>5</v>
      </c>
      <c r="G9" s="33">
        <v>0</v>
      </c>
      <c r="H9" s="33">
        <v>0</v>
      </c>
      <c r="I9" s="19"/>
      <c r="J9" s="26"/>
      <c r="K9" s="17"/>
      <c r="L9" s="17" t="s">
        <v>635</v>
      </c>
      <c r="M9" s="32"/>
      <c r="N9" s="17"/>
      <c r="O9" s="17"/>
      <c r="P9" s="31"/>
      <c r="Q9" s="30">
        <f t="shared" ref="Q9:AB9" si="5">+Q10+Q11</f>
        <v>162121492</v>
      </c>
      <c r="R9" s="30">
        <f t="shared" si="5"/>
        <v>177308084</v>
      </c>
      <c r="S9" s="30">
        <f t="shared" si="5"/>
        <v>242886721</v>
      </c>
      <c r="T9" s="30">
        <f t="shared" si="5"/>
        <v>201632115</v>
      </c>
      <c r="U9" s="30">
        <f t="shared" si="5"/>
        <v>206624819</v>
      </c>
      <c r="V9" s="30">
        <f t="shared" si="5"/>
        <v>284317547</v>
      </c>
      <c r="W9" s="30">
        <f t="shared" si="5"/>
        <v>235039488</v>
      </c>
      <c r="X9" s="30">
        <f t="shared" si="5"/>
        <v>290183449</v>
      </c>
      <c r="Y9" s="30">
        <f t="shared" si="5"/>
        <v>231015650.62</v>
      </c>
      <c r="Z9" s="30">
        <f t="shared" si="5"/>
        <v>219023442</v>
      </c>
      <c r="AA9" s="30">
        <f t="shared" si="5"/>
        <v>260010034</v>
      </c>
      <c r="AB9" s="30">
        <f t="shared" si="5"/>
        <v>197371008.59</v>
      </c>
    </row>
    <row r="10" spans="1:28" x14ac:dyDescent="0.2">
      <c r="A10" s="24" t="s">
        <v>634</v>
      </c>
      <c r="B10" s="24">
        <v>1</v>
      </c>
      <c r="C10" s="24">
        <v>1</v>
      </c>
      <c r="D10" s="24">
        <v>2</v>
      </c>
      <c r="E10" s="24">
        <v>1</v>
      </c>
      <c r="F10" s="24">
        <v>5</v>
      </c>
      <c r="G10" s="24">
        <v>1</v>
      </c>
      <c r="H10" s="24">
        <v>0</v>
      </c>
      <c r="I10" s="13"/>
      <c r="J10" s="12"/>
      <c r="K10" s="10"/>
      <c r="L10" s="10"/>
      <c r="M10" s="10" t="s">
        <v>633</v>
      </c>
      <c r="N10" s="11"/>
      <c r="O10" s="10"/>
      <c r="P10" s="71"/>
      <c r="Q10" s="8">
        <v>162121492</v>
      </c>
      <c r="R10" s="8">
        <v>177308084</v>
      </c>
      <c r="S10" s="8">
        <v>242886721</v>
      </c>
      <c r="T10" s="8">
        <v>201632115</v>
      </c>
      <c r="U10" s="8">
        <v>206624819</v>
      </c>
      <c r="V10" s="8">
        <v>284317547</v>
      </c>
      <c r="W10" s="8">
        <v>235039488</v>
      </c>
      <c r="X10" s="8">
        <v>290183449</v>
      </c>
      <c r="Y10" s="8">
        <v>231015650.62</v>
      </c>
      <c r="Z10" s="8">
        <v>219023442</v>
      </c>
      <c r="AA10" s="8">
        <v>260010034</v>
      </c>
      <c r="AB10" s="8">
        <v>197371008.59</v>
      </c>
    </row>
    <row r="11" spans="1:28" x14ac:dyDescent="0.2">
      <c r="A11" s="24" t="s">
        <v>632</v>
      </c>
      <c r="B11" s="24">
        <v>1</v>
      </c>
      <c r="C11" s="24">
        <v>1</v>
      </c>
      <c r="D11" s="24">
        <v>2</v>
      </c>
      <c r="E11" s="24">
        <v>1</v>
      </c>
      <c r="F11" s="24">
        <v>5</v>
      </c>
      <c r="G11" s="24">
        <v>2</v>
      </c>
      <c r="H11" s="24">
        <v>0</v>
      </c>
      <c r="I11" s="13"/>
      <c r="J11" s="12"/>
      <c r="K11" s="10"/>
      <c r="L11" s="10"/>
      <c r="M11" s="10" t="s">
        <v>631</v>
      </c>
      <c r="N11" s="11"/>
      <c r="O11" s="10"/>
      <c r="P11" s="71"/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</row>
    <row r="12" spans="1:28" x14ac:dyDescent="0.2">
      <c r="A12" s="33" t="s">
        <v>630</v>
      </c>
      <c r="B12" s="33">
        <v>1</v>
      </c>
      <c r="C12" s="33">
        <v>2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19"/>
      <c r="J12" s="32"/>
      <c r="K12" s="17" t="s">
        <v>629</v>
      </c>
      <c r="L12" s="32"/>
      <c r="M12" s="17"/>
      <c r="N12" s="17"/>
      <c r="O12" s="17"/>
      <c r="P12" s="31"/>
      <c r="Q12" s="30">
        <f t="shared" ref="Q12:AB12" si="6">+Q13+Q14</f>
        <v>0</v>
      </c>
      <c r="R12" s="30">
        <f t="shared" si="6"/>
        <v>0</v>
      </c>
      <c r="S12" s="30">
        <f t="shared" si="6"/>
        <v>0</v>
      </c>
      <c r="T12" s="30">
        <f t="shared" si="6"/>
        <v>0</v>
      </c>
      <c r="U12" s="30">
        <f t="shared" si="6"/>
        <v>0</v>
      </c>
      <c r="V12" s="30">
        <f t="shared" si="6"/>
        <v>0</v>
      </c>
      <c r="W12" s="30">
        <f t="shared" si="6"/>
        <v>0</v>
      </c>
      <c r="X12" s="30">
        <f t="shared" si="6"/>
        <v>0</v>
      </c>
      <c r="Y12" s="30">
        <f t="shared" si="6"/>
        <v>0</v>
      </c>
      <c r="Z12" s="30">
        <f t="shared" si="6"/>
        <v>0</v>
      </c>
      <c r="AA12" s="30">
        <f t="shared" si="6"/>
        <v>0</v>
      </c>
      <c r="AB12" s="30">
        <f t="shared" si="6"/>
        <v>0</v>
      </c>
    </row>
    <row r="13" spans="1:28" x14ac:dyDescent="0.2">
      <c r="A13" s="24" t="s">
        <v>628</v>
      </c>
      <c r="B13" s="24">
        <v>1</v>
      </c>
      <c r="C13" s="24">
        <v>2</v>
      </c>
      <c r="D13" s="24">
        <v>1</v>
      </c>
      <c r="E13" s="24">
        <v>0</v>
      </c>
      <c r="F13" s="24">
        <v>0</v>
      </c>
      <c r="G13" s="24">
        <v>0</v>
      </c>
      <c r="H13" s="24">
        <v>0</v>
      </c>
      <c r="I13" s="13"/>
      <c r="J13" s="12"/>
      <c r="K13" s="11"/>
      <c r="L13" s="10" t="s">
        <v>627</v>
      </c>
      <c r="M13" s="11"/>
      <c r="N13" s="10"/>
      <c r="O13" s="10"/>
      <c r="P13" s="71"/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</row>
    <row r="14" spans="1:28" x14ac:dyDescent="0.2">
      <c r="A14" s="24" t="s">
        <v>626</v>
      </c>
      <c r="B14" s="24">
        <v>1</v>
      </c>
      <c r="C14" s="24">
        <v>2</v>
      </c>
      <c r="D14" s="24">
        <v>2</v>
      </c>
      <c r="E14" s="24">
        <v>0</v>
      </c>
      <c r="F14" s="24">
        <v>0</v>
      </c>
      <c r="G14" s="24">
        <v>0</v>
      </c>
      <c r="H14" s="24">
        <v>0</v>
      </c>
      <c r="I14" s="13"/>
      <c r="J14" s="12"/>
      <c r="K14" s="11"/>
      <c r="L14" s="10" t="s">
        <v>625</v>
      </c>
      <c r="M14" s="11"/>
      <c r="N14" s="10"/>
      <c r="O14" s="10"/>
      <c r="P14" s="71"/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</row>
    <row r="15" spans="1:28" x14ac:dyDescent="0.2">
      <c r="A15" s="33" t="s">
        <v>624</v>
      </c>
      <c r="B15" s="33">
        <v>1</v>
      </c>
      <c r="C15" s="33">
        <v>1</v>
      </c>
      <c r="D15" s="33">
        <v>7</v>
      </c>
      <c r="E15" s="33">
        <v>0</v>
      </c>
      <c r="F15" s="33">
        <v>0</v>
      </c>
      <c r="G15" s="33">
        <v>0</v>
      </c>
      <c r="H15" s="33">
        <v>0</v>
      </c>
      <c r="I15" s="19"/>
      <c r="J15" s="26"/>
      <c r="K15" s="17" t="s">
        <v>86</v>
      </c>
      <c r="L15" s="17"/>
      <c r="M15" s="17"/>
      <c r="N15" s="17"/>
      <c r="O15" s="17"/>
      <c r="P15" s="31"/>
      <c r="Q15" s="30">
        <f t="shared" ref="Q15:AB15" si="7">+Q16+Q19+Q22+Q23+Q24</f>
        <v>22276601</v>
      </c>
      <c r="R15" s="30">
        <f t="shared" si="7"/>
        <v>25627058</v>
      </c>
      <c r="S15" s="30">
        <f t="shared" si="7"/>
        <v>33043111</v>
      </c>
      <c r="T15" s="30">
        <f t="shared" si="7"/>
        <v>32229255.16</v>
      </c>
      <c r="U15" s="30">
        <f t="shared" si="7"/>
        <v>34641983</v>
      </c>
      <c r="V15" s="30">
        <f t="shared" si="7"/>
        <v>30813526</v>
      </c>
      <c r="W15" s="30">
        <f t="shared" si="7"/>
        <v>43415091</v>
      </c>
      <c r="X15" s="30">
        <f t="shared" si="7"/>
        <v>96843903.879999995</v>
      </c>
      <c r="Y15" s="30">
        <f t="shared" si="7"/>
        <v>34468247.269999996</v>
      </c>
      <c r="Z15" s="30">
        <f t="shared" si="7"/>
        <v>37449176</v>
      </c>
      <c r="AA15" s="30">
        <f t="shared" si="7"/>
        <v>33675380</v>
      </c>
      <c r="AB15" s="30">
        <f t="shared" si="7"/>
        <v>22195592.719999999</v>
      </c>
    </row>
    <row r="16" spans="1:28" x14ac:dyDescent="0.2">
      <c r="A16" s="33" t="s">
        <v>623</v>
      </c>
      <c r="B16" s="33">
        <v>1</v>
      </c>
      <c r="C16" s="33">
        <v>1</v>
      </c>
      <c r="D16" s="33">
        <v>7</v>
      </c>
      <c r="E16" s="33">
        <v>1</v>
      </c>
      <c r="F16" s="33">
        <v>0</v>
      </c>
      <c r="G16" s="33">
        <v>0</v>
      </c>
      <c r="H16" s="33">
        <v>0</v>
      </c>
      <c r="I16" s="19"/>
      <c r="J16" s="26"/>
      <c r="K16" s="17"/>
      <c r="L16" s="17" t="s">
        <v>84</v>
      </c>
      <c r="M16" s="17"/>
      <c r="N16" s="17"/>
      <c r="O16" s="17"/>
      <c r="P16" s="31"/>
      <c r="Q16" s="30">
        <f t="shared" ref="Q16:AB16" si="8">+Q17+Q18</f>
        <v>2160904</v>
      </c>
      <c r="R16" s="30">
        <f t="shared" si="8"/>
        <v>4739021</v>
      </c>
      <c r="S16" s="30">
        <f t="shared" si="8"/>
        <v>3662764</v>
      </c>
      <c r="T16" s="30">
        <f t="shared" si="8"/>
        <v>3778951</v>
      </c>
      <c r="U16" s="30">
        <f t="shared" si="8"/>
        <v>5346902</v>
      </c>
      <c r="V16" s="30">
        <f t="shared" si="8"/>
        <v>5329474</v>
      </c>
      <c r="W16" s="30">
        <f t="shared" si="8"/>
        <v>8284485</v>
      </c>
      <c r="X16" s="30">
        <f t="shared" si="8"/>
        <v>4963404.8600000003</v>
      </c>
      <c r="Y16" s="30">
        <f t="shared" si="8"/>
        <v>5881911.5699999994</v>
      </c>
      <c r="Z16" s="30">
        <f t="shared" si="8"/>
        <v>10620018</v>
      </c>
      <c r="AA16" s="30">
        <f t="shared" si="8"/>
        <v>9773994.8100000005</v>
      </c>
      <c r="AB16" s="30">
        <f t="shared" si="8"/>
        <v>4733604.7300000004</v>
      </c>
    </row>
    <row r="17" spans="1:28" x14ac:dyDescent="0.2">
      <c r="A17" s="24" t="s">
        <v>622</v>
      </c>
      <c r="B17" s="24">
        <v>1</v>
      </c>
      <c r="C17" s="24">
        <v>1</v>
      </c>
      <c r="D17" s="24">
        <v>7</v>
      </c>
      <c r="E17" s="24">
        <v>1</v>
      </c>
      <c r="F17" s="24">
        <v>2</v>
      </c>
      <c r="G17" s="24">
        <v>0</v>
      </c>
      <c r="H17" s="24">
        <v>0</v>
      </c>
      <c r="I17" s="13"/>
      <c r="J17" s="12"/>
      <c r="K17" s="10"/>
      <c r="L17" s="98"/>
      <c r="M17" s="10" t="s">
        <v>621</v>
      </c>
      <c r="N17" s="10"/>
      <c r="O17" s="10"/>
      <c r="P17" s="71"/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</row>
    <row r="18" spans="1:28" x14ac:dyDescent="0.2">
      <c r="A18" s="24" t="s">
        <v>620</v>
      </c>
      <c r="B18" s="24">
        <v>1</v>
      </c>
      <c r="C18" s="24">
        <v>1</v>
      </c>
      <c r="D18" s="24">
        <v>7</v>
      </c>
      <c r="E18" s="24">
        <v>1</v>
      </c>
      <c r="F18" s="24">
        <v>50</v>
      </c>
      <c r="G18" s="24">
        <v>0</v>
      </c>
      <c r="H18" s="24">
        <v>0</v>
      </c>
      <c r="I18" s="13"/>
      <c r="J18" s="12"/>
      <c r="K18" s="10"/>
      <c r="L18" s="98"/>
      <c r="M18" s="10" t="s">
        <v>619</v>
      </c>
      <c r="N18" s="10"/>
      <c r="O18" s="10"/>
      <c r="P18" s="71"/>
      <c r="Q18" s="8">
        <v>2160904</v>
      </c>
      <c r="R18" s="8">
        <v>4739021</v>
      </c>
      <c r="S18" s="8">
        <v>3662764</v>
      </c>
      <c r="T18" s="8">
        <v>3778951</v>
      </c>
      <c r="U18" s="8">
        <v>5346902</v>
      </c>
      <c r="V18" s="8">
        <v>5329474</v>
      </c>
      <c r="W18" s="8">
        <v>8284485</v>
      </c>
      <c r="X18" s="8">
        <f>4882875+80529.86</f>
        <v>4963404.8600000003</v>
      </c>
      <c r="Y18" s="8">
        <f>5793346.43+88565.14</f>
        <v>5881911.5699999994</v>
      </c>
      <c r="Z18" s="8">
        <v>10620018</v>
      </c>
      <c r="AA18" s="8">
        <f>44534.81+9729460</f>
        <v>9773994.8100000005</v>
      </c>
      <c r="AB18" s="8">
        <v>4733604.7300000004</v>
      </c>
    </row>
    <row r="19" spans="1:28" x14ac:dyDescent="0.2">
      <c r="A19" s="33" t="s">
        <v>618</v>
      </c>
      <c r="B19" s="33">
        <v>1</v>
      </c>
      <c r="C19" s="33">
        <v>1</v>
      </c>
      <c r="D19" s="33">
        <v>7</v>
      </c>
      <c r="E19" s="33">
        <v>2</v>
      </c>
      <c r="F19" s="33">
        <v>0</v>
      </c>
      <c r="G19" s="33">
        <v>0</v>
      </c>
      <c r="H19" s="33">
        <v>0</v>
      </c>
      <c r="I19" s="19"/>
      <c r="J19" s="26"/>
      <c r="K19" s="17"/>
      <c r="L19" s="17" t="s">
        <v>617</v>
      </c>
      <c r="M19" s="17"/>
      <c r="N19" s="17"/>
      <c r="O19" s="17"/>
      <c r="P19" s="31"/>
      <c r="Q19" s="30">
        <f t="shared" ref="Q19:AB19" si="9">+Q20+Q21</f>
        <v>0</v>
      </c>
      <c r="R19" s="30">
        <f t="shared" si="9"/>
        <v>0</v>
      </c>
      <c r="S19" s="30">
        <f t="shared" si="9"/>
        <v>0</v>
      </c>
      <c r="T19" s="30">
        <f t="shared" si="9"/>
        <v>0</v>
      </c>
      <c r="U19" s="30">
        <f t="shared" si="9"/>
        <v>0</v>
      </c>
      <c r="V19" s="30">
        <f t="shared" si="9"/>
        <v>0</v>
      </c>
      <c r="W19" s="30">
        <f t="shared" si="9"/>
        <v>0</v>
      </c>
      <c r="X19" s="30">
        <f t="shared" si="9"/>
        <v>0</v>
      </c>
      <c r="Y19" s="30">
        <f t="shared" si="9"/>
        <v>0</v>
      </c>
      <c r="Z19" s="30">
        <f t="shared" si="9"/>
        <v>0</v>
      </c>
      <c r="AA19" s="30">
        <f t="shared" si="9"/>
        <v>0</v>
      </c>
      <c r="AB19" s="30">
        <f t="shared" si="9"/>
        <v>0</v>
      </c>
    </row>
    <row r="20" spans="1:28" x14ac:dyDescent="0.2">
      <c r="A20" s="24" t="s">
        <v>616</v>
      </c>
      <c r="B20" s="24">
        <v>1</v>
      </c>
      <c r="C20" s="24">
        <v>1</v>
      </c>
      <c r="D20" s="24">
        <v>7</v>
      </c>
      <c r="E20" s="24">
        <v>2</v>
      </c>
      <c r="F20" s="24">
        <v>1</v>
      </c>
      <c r="G20" s="24">
        <v>0</v>
      </c>
      <c r="H20" s="24">
        <v>0</v>
      </c>
      <c r="I20" s="13"/>
      <c r="J20" s="12"/>
      <c r="K20" s="10"/>
      <c r="L20" s="98"/>
      <c r="M20" s="10" t="s">
        <v>615</v>
      </c>
      <c r="N20" s="10"/>
      <c r="O20" s="10"/>
      <c r="P20" s="71"/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</row>
    <row r="21" spans="1:28" x14ac:dyDescent="0.2">
      <c r="A21" s="24" t="s">
        <v>614</v>
      </c>
      <c r="B21" s="24">
        <v>1</v>
      </c>
      <c r="C21" s="24">
        <v>1</v>
      </c>
      <c r="D21" s="24">
        <v>7</v>
      </c>
      <c r="E21" s="24">
        <v>2</v>
      </c>
      <c r="F21" s="24">
        <v>2</v>
      </c>
      <c r="G21" s="24">
        <v>0</v>
      </c>
      <c r="H21" s="24">
        <v>0</v>
      </c>
      <c r="I21" s="13"/>
      <c r="J21" s="12"/>
      <c r="K21" s="10"/>
      <c r="L21" s="98"/>
      <c r="M21" s="10" t="s">
        <v>613</v>
      </c>
      <c r="N21" s="10"/>
      <c r="O21" s="10"/>
      <c r="P21" s="71"/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</row>
    <row r="22" spans="1:28" x14ac:dyDescent="0.2">
      <c r="A22" s="24" t="s">
        <v>612</v>
      </c>
      <c r="B22" s="24">
        <v>1</v>
      </c>
      <c r="C22" s="24">
        <v>1</v>
      </c>
      <c r="D22" s="24">
        <v>7</v>
      </c>
      <c r="E22" s="24">
        <v>3</v>
      </c>
      <c r="F22" s="24">
        <v>0</v>
      </c>
      <c r="G22" s="24">
        <v>0</v>
      </c>
      <c r="H22" s="24">
        <v>0</v>
      </c>
      <c r="I22" s="13"/>
      <c r="J22" s="12"/>
      <c r="K22" s="10"/>
      <c r="L22" s="98" t="s">
        <v>611</v>
      </c>
      <c r="M22" s="10"/>
      <c r="N22" s="10"/>
      <c r="O22" s="10"/>
      <c r="P22" s="71"/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</row>
    <row r="23" spans="1:28" x14ac:dyDescent="0.2">
      <c r="A23" s="24" t="s">
        <v>610</v>
      </c>
      <c r="B23" s="24">
        <v>1</v>
      </c>
      <c r="C23" s="24">
        <v>1</v>
      </c>
      <c r="D23" s="24">
        <v>7</v>
      </c>
      <c r="E23" s="24">
        <v>5</v>
      </c>
      <c r="F23" s="24">
        <v>0</v>
      </c>
      <c r="G23" s="24">
        <v>0</v>
      </c>
      <c r="H23" s="24">
        <v>0</v>
      </c>
      <c r="I23" s="13"/>
      <c r="J23" s="12"/>
      <c r="K23" s="10"/>
      <c r="L23" s="98" t="s">
        <v>609</v>
      </c>
      <c r="M23" s="10"/>
      <c r="N23" s="10"/>
      <c r="O23" s="10"/>
      <c r="P23" s="71"/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</row>
    <row r="24" spans="1:28" x14ac:dyDescent="0.2">
      <c r="A24" s="24" t="s">
        <v>608</v>
      </c>
      <c r="B24" s="24">
        <v>1</v>
      </c>
      <c r="C24" s="24">
        <v>1</v>
      </c>
      <c r="D24" s="24">
        <v>7</v>
      </c>
      <c r="E24" s="24">
        <v>50</v>
      </c>
      <c r="F24" s="24">
        <v>0</v>
      </c>
      <c r="G24" s="24">
        <v>0</v>
      </c>
      <c r="H24" s="24">
        <v>0</v>
      </c>
      <c r="I24" s="13"/>
      <c r="J24" s="12"/>
      <c r="K24" s="10"/>
      <c r="L24" s="10" t="s">
        <v>607</v>
      </c>
      <c r="M24" s="10"/>
      <c r="N24" s="10"/>
      <c r="O24" s="10"/>
      <c r="P24" s="71"/>
      <c r="Q24" s="8">
        <v>20115697</v>
      </c>
      <c r="R24" s="8">
        <v>20888037</v>
      </c>
      <c r="S24" s="8">
        <v>29380347</v>
      </c>
      <c r="T24" s="8">
        <v>28450304.16</v>
      </c>
      <c r="U24" s="8">
        <v>29295081</v>
      </c>
      <c r="V24" s="8">
        <v>25484052</v>
      </c>
      <c r="W24" s="8">
        <v>35130606</v>
      </c>
      <c r="X24" s="8">
        <f>91961028.88-80529.86</f>
        <v>91880499.019999996</v>
      </c>
      <c r="Y24" s="8">
        <f>28674900.84-88565.14</f>
        <v>28586335.699999999</v>
      </c>
      <c r="Z24" s="8">
        <v>26829158</v>
      </c>
      <c r="AA24" s="8">
        <f>23945920-44534.81</f>
        <v>23901385.190000001</v>
      </c>
      <c r="AB24" s="8">
        <v>17461987.989999998</v>
      </c>
    </row>
    <row r="25" spans="1:28" x14ac:dyDescent="0.2">
      <c r="A25" s="33" t="s">
        <v>606</v>
      </c>
      <c r="B25" s="33">
        <v>1</v>
      </c>
      <c r="C25" s="33">
        <v>1</v>
      </c>
      <c r="D25" s="33">
        <v>9</v>
      </c>
      <c r="E25" s="33">
        <v>0</v>
      </c>
      <c r="F25" s="33">
        <v>0</v>
      </c>
      <c r="G25" s="33">
        <v>0</v>
      </c>
      <c r="H25" s="33">
        <v>0</v>
      </c>
      <c r="I25" s="19"/>
      <c r="J25" s="26"/>
      <c r="K25" s="17" t="s">
        <v>605</v>
      </c>
      <c r="L25" s="17"/>
      <c r="M25" s="17"/>
      <c r="N25" s="17"/>
      <c r="O25" s="17"/>
      <c r="P25" s="31"/>
      <c r="Q25" s="30">
        <f t="shared" ref="Q25:AB25" si="10">+Q26+Q33+Q37+Q43+Q47+Q50+Q51+Q52</f>
        <v>53178230</v>
      </c>
      <c r="R25" s="30">
        <f t="shared" si="10"/>
        <v>48822354</v>
      </c>
      <c r="S25" s="30">
        <f t="shared" si="10"/>
        <v>85619570.400000006</v>
      </c>
      <c r="T25" s="30">
        <f t="shared" si="10"/>
        <v>53336370.990000002</v>
      </c>
      <c r="U25" s="30">
        <f t="shared" si="10"/>
        <v>55036039</v>
      </c>
      <c r="V25" s="30">
        <f t="shared" si="10"/>
        <v>66669895.960000001</v>
      </c>
      <c r="W25" s="30">
        <f t="shared" si="10"/>
        <v>71665083.510000005</v>
      </c>
      <c r="X25" s="30">
        <f t="shared" si="10"/>
        <v>92084145</v>
      </c>
      <c r="Y25" s="30">
        <f t="shared" si="10"/>
        <v>58483591.409999996</v>
      </c>
      <c r="Z25" s="30">
        <f t="shared" si="10"/>
        <v>57243203</v>
      </c>
      <c r="AA25" s="30">
        <f t="shared" si="10"/>
        <v>75193179.540000007</v>
      </c>
      <c r="AB25" s="30">
        <f t="shared" si="10"/>
        <v>51932745.719999999</v>
      </c>
    </row>
    <row r="26" spans="1:28" x14ac:dyDescent="0.2">
      <c r="A26" s="33" t="s">
        <v>604</v>
      </c>
      <c r="B26" s="33">
        <v>1</v>
      </c>
      <c r="C26" s="33">
        <v>1</v>
      </c>
      <c r="D26" s="33">
        <v>9</v>
      </c>
      <c r="E26" s="33">
        <v>1</v>
      </c>
      <c r="F26" s="33">
        <v>0</v>
      </c>
      <c r="G26" s="33">
        <v>0</v>
      </c>
      <c r="H26" s="33">
        <v>0</v>
      </c>
      <c r="I26" s="19"/>
      <c r="J26" s="26"/>
      <c r="K26" s="17"/>
      <c r="L26" s="17" t="s">
        <v>603</v>
      </c>
      <c r="M26" s="17"/>
      <c r="N26" s="17"/>
      <c r="O26" s="17"/>
      <c r="P26" s="31"/>
      <c r="Q26" s="30">
        <f t="shared" ref="Q26:AB26" si="11">+Q27+Q28+Q29+Q30+Q31+Q32</f>
        <v>49687808</v>
      </c>
      <c r="R26" s="30">
        <f t="shared" si="11"/>
        <v>45592876</v>
      </c>
      <c r="S26" s="30">
        <f t="shared" si="11"/>
        <v>65643166</v>
      </c>
      <c r="T26" s="30">
        <f t="shared" si="11"/>
        <v>50019560.990000002</v>
      </c>
      <c r="U26" s="30">
        <f t="shared" si="11"/>
        <v>51667805</v>
      </c>
      <c r="V26" s="30">
        <f t="shared" si="11"/>
        <v>63190323</v>
      </c>
      <c r="W26" s="30">
        <f t="shared" si="11"/>
        <v>59039789</v>
      </c>
      <c r="X26" s="30">
        <f t="shared" si="11"/>
        <v>86450653</v>
      </c>
      <c r="Y26" s="30">
        <f t="shared" si="11"/>
        <v>54816795.340000004</v>
      </c>
      <c r="Z26" s="30">
        <f t="shared" si="11"/>
        <v>53566310</v>
      </c>
      <c r="AA26" s="30">
        <f t="shared" si="11"/>
        <v>59184470</v>
      </c>
      <c r="AB26" s="30">
        <f t="shared" si="11"/>
        <v>48126051.32</v>
      </c>
    </row>
    <row r="27" spans="1:28" x14ac:dyDescent="0.2">
      <c r="A27" s="24" t="s">
        <v>602</v>
      </c>
      <c r="B27" s="24">
        <v>1</v>
      </c>
      <c r="C27" s="24">
        <v>1</v>
      </c>
      <c r="D27" s="24">
        <v>9</v>
      </c>
      <c r="E27" s="24">
        <v>1</v>
      </c>
      <c r="F27" s="24">
        <v>1</v>
      </c>
      <c r="G27" s="24">
        <v>0</v>
      </c>
      <c r="H27" s="24">
        <v>0</v>
      </c>
      <c r="I27" s="13"/>
      <c r="J27" s="12"/>
      <c r="K27" s="10"/>
      <c r="L27" s="10"/>
      <c r="M27" s="10" t="s">
        <v>601</v>
      </c>
      <c r="N27" s="10"/>
      <c r="O27" s="10"/>
      <c r="P27" s="71"/>
      <c r="Q27" s="8">
        <v>29081590</v>
      </c>
      <c r="R27" s="8">
        <f>31774824</f>
        <v>31774824</v>
      </c>
      <c r="S27" s="8">
        <v>43502810</v>
      </c>
      <c r="T27" s="8">
        <v>36755802.990000002</v>
      </c>
      <c r="U27" s="8">
        <v>37739414</v>
      </c>
      <c r="V27" s="8">
        <v>49534621</v>
      </c>
      <c r="W27" s="8">
        <v>43193373</v>
      </c>
      <c r="X27" s="8">
        <v>61147834</v>
      </c>
      <c r="Y27" s="8">
        <v>41616161.950000003</v>
      </c>
      <c r="Z27" s="8">
        <v>39569408</v>
      </c>
      <c r="AA27" s="8">
        <v>45515628</v>
      </c>
      <c r="AB27" s="8">
        <v>34570091.640000001</v>
      </c>
    </row>
    <row r="28" spans="1:28" x14ac:dyDescent="0.2">
      <c r="A28" s="24" t="s">
        <v>600</v>
      </c>
      <c r="B28" s="24">
        <v>1</v>
      </c>
      <c r="C28" s="24">
        <v>1</v>
      </c>
      <c r="D28" s="24">
        <v>9</v>
      </c>
      <c r="E28" s="24">
        <v>1</v>
      </c>
      <c r="F28" s="24">
        <v>2</v>
      </c>
      <c r="G28" s="24">
        <v>0</v>
      </c>
      <c r="H28" s="24">
        <v>0</v>
      </c>
      <c r="I28" s="13"/>
      <c r="J28" s="12"/>
      <c r="K28" s="10"/>
      <c r="L28" s="10"/>
      <c r="M28" s="10" t="s">
        <v>254</v>
      </c>
      <c r="N28" s="10"/>
      <c r="O28" s="10"/>
      <c r="P28" s="71"/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</row>
    <row r="29" spans="1:28" x14ac:dyDescent="0.2">
      <c r="A29" s="24" t="s">
        <v>599</v>
      </c>
      <c r="B29" s="24">
        <v>1</v>
      </c>
      <c r="C29" s="24">
        <v>1</v>
      </c>
      <c r="D29" s="24">
        <v>9</v>
      </c>
      <c r="E29" s="24">
        <v>1</v>
      </c>
      <c r="F29" s="24">
        <v>3</v>
      </c>
      <c r="G29" s="24">
        <v>0</v>
      </c>
      <c r="H29" s="24">
        <v>0</v>
      </c>
      <c r="I29" s="13"/>
      <c r="J29" s="12"/>
      <c r="K29" s="10"/>
      <c r="L29" s="10"/>
      <c r="M29" s="10" t="s">
        <v>598</v>
      </c>
      <c r="N29" s="10"/>
      <c r="O29" s="10"/>
      <c r="P29" s="71"/>
      <c r="Q29" s="8">
        <v>20584929</v>
      </c>
      <c r="R29" s="8">
        <v>13736695</v>
      </c>
      <c r="S29" s="8">
        <v>22027368</v>
      </c>
      <c r="T29" s="8">
        <v>13174039</v>
      </c>
      <c r="U29" s="8">
        <v>13793777</v>
      </c>
      <c r="V29" s="8">
        <v>13566029</v>
      </c>
      <c r="W29" s="8">
        <v>15735822</v>
      </c>
      <c r="X29" s="8">
        <v>25156921</v>
      </c>
      <c r="Y29" s="8">
        <v>13129874.939999999</v>
      </c>
      <c r="Z29" s="8">
        <v>13837904</v>
      </c>
      <c r="AA29" s="8">
        <v>13527254</v>
      </c>
      <c r="AB29" s="8">
        <v>13262504.859999999</v>
      </c>
    </row>
    <row r="30" spans="1:28" x14ac:dyDescent="0.2">
      <c r="A30" s="24" t="s">
        <v>597</v>
      </c>
      <c r="B30" s="24">
        <v>1</v>
      </c>
      <c r="C30" s="24">
        <v>1</v>
      </c>
      <c r="D30" s="24">
        <v>9</v>
      </c>
      <c r="E30" s="24">
        <v>1</v>
      </c>
      <c r="F30" s="24">
        <v>4</v>
      </c>
      <c r="G30" s="24">
        <v>0</v>
      </c>
      <c r="H30" s="24">
        <v>0</v>
      </c>
      <c r="I30" s="13"/>
      <c r="J30" s="12"/>
      <c r="K30" s="10"/>
      <c r="L30" s="10"/>
      <c r="M30" s="10" t="s">
        <v>250</v>
      </c>
      <c r="N30" s="10"/>
      <c r="O30" s="10"/>
      <c r="P30" s="71"/>
      <c r="Q30" s="8">
        <v>538</v>
      </c>
      <c r="R30" s="8">
        <v>8046</v>
      </c>
      <c r="S30" s="8">
        <v>3232</v>
      </c>
      <c r="T30" s="8">
        <v>800</v>
      </c>
      <c r="U30" s="8">
        <v>5064</v>
      </c>
      <c r="V30" s="8">
        <v>4801</v>
      </c>
      <c r="W30" s="8">
        <v>8517</v>
      </c>
      <c r="X30" s="8">
        <v>4883</v>
      </c>
      <c r="Y30" s="8">
        <v>0</v>
      </c>
      <c r="Z30" s="8">
        <v>7940</v>
      </c>
      <c r="AA30" s="8">
        <v>8416</v>
      </c>
      <c r="AB30" s="8">
        <v>20567.669999999998</v>
      </c>
    </row>
    <row r="31" spans="1:28" x14ac:dyDescent="0.2">
      <c r="A31" s="24" t="s">
        <v>596</v>
      </c>
      <c r="B31" s="24">
        <v>1</v>
      </c>
      <c r="C31" s="24">
        <v>1</v>
      </c>
      <c r="D31" s="24">
        <v>9</v>
      </c>
      <c r="E31" s="24">
        <v>1</v>
      </c>
      <c r="F31" s="24">
        <v>5</v>
      </c>
      <c r="G31" s="24">
        <v>0</v>
      </c>
      <c r="H31" s="24">
        <v>0</v>
      </c>
      <c r="I31" s="13"/>
      <c r="J31" s="12"/>
      <c r="K31" s="10"/>
      <c r="L31" s="10"/>
      <c r="M31" s="10" t="s">
        <v>248</v>
      </c>
      <c r="N31" s="10"/>
      <c r="O31" s="10"/>
      <c r="P31" s="71"/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5690.82</v>
      </c>
      <c r="Z31" s="8">
        <v>0</v>
      </c>
      <c r="AA31" s="8">
        <v>0</v>
      </c>
      <c r="AB31" s="8">
        <v>0</v>
      </c>
    </row>
    <row r="32" spans="1:28" x14ac:dyDescent="0.2">
      <c r="A32" s="24" t="s">
        <v>595</v>
      </c>
      <c r="B32" s="24">
        <v>1</v>
      </c>
      <c r="C32" s="24">
        <v>1</v>
      </c>
      <c r="D32" s="24">
        <v>9</v>
      </c>
      <c r="E32" s="24">
        <v>1</v>
      </c>
      <c r="F32" s="24">
        <v>50</v>
      </c>
      <c r="G32" s="24">
        <v>0</v>
      </c>
      <c r="H32" s="24">
        <v>0</v>
      </c>
      <c r="I32" s="13"/>
      <c r="J32" s="12"/>
      <c r="K32" s="10"/>
      <c r="L32" s="10"/>
      <c r="M32" s="10" t="s">
        <v>246</v>
      </c>
      <c r="N32" s="10"/>
      <c r="O32" s="10"/>
      <c r="P32" s="71"/>
      <c r="Q32" s="8">
        <v>20751</v>
      </c>
      <c r="R32" s="8">
        <v>73311</v>
      </c>
      <c r="S32" s="8">
        <v>109756</v>
      </c>
      <c r="T32" s="8">
        <v>88919</v>
      </c>
      <c r="U32" s="8">
        <v>129550</v>
      </c>
      <c r="V32" s="8">
        <v>84872</v>
      </c>
      <c r="W32" s="8">
        <v>102077</v>
      </c>
      <c r="X32" s="8">
        <v>141015</v>
      </c>
      <c r="Y32" s="8">
        <f>60805.32+4262.31</f>
        <v>65067.63</v>
      </c>
      <c r="Z32" s="8">
        <v>151058</v>
      </c>
      <c r="AA32" s="8">
        <v>133172</v>
      </c>
      <c r="AB32" s="8">
        <f>22781.45+249701.63+404.07</f>
        <v>272887.15000000002</v>
      </c>
    </row>
    <row r="33" spans="1:28" x14ac:dyDescent="0.2">
      <c r="A33" s="33" t="s">
        <v>594</v>
      </c>
      <c r="B33" s="33">
        <v>1</v>
      </c>
      <c r="C33" s="33">
        <v>1</v>
      </c>
      <c r="D33" s="33">
        <v>9</v>
      </c>
      <c r="E33" s="33">
        <v>2</v>
      </c>
      <c r="F33" s="33">
        <v>0</v>
      </c>
      <c r="G33" s="33">
        <v>0</v>
      </c>
      <c r="H33" s="33">
        <v>0</v>
      </c>
      <c r="I33" s="19"/>
      <c r="J33" s="26"/>
      <c r="K33" s="17"/>
      <c r="L33" s="17" t="s">
        <v>593</v>
      </c>
      <c r="M33" s="17"/>
      <c r="N33" s="17"/>
      <c r="O33" s="17"/>
      <c r="P33" s="31"/>
      <c r="Q33" s="30">
        <f t="shared" ref="Q33:AB33" si="12">+Q34+Q35+Q36</f>
        <v>0</v>
      </c>
      <c r="R33" s="30">
        <f t="shared" si="12"/>
        <v>0</v>
      </c>
      <c r="S33" s="30">
        <f t="shared" si="12"/>
        <v>0</v>
      </c>
      <c r="T33" s="30">
        <f t="shared" si="12"/>
        <v>0</v>
      </c>
      <c r="U33" s="30">
        <f t="shared" si="12"/>
        <v>0</v>
      </c>
      <c r="V33" s="30">
        <f t="shared" si="12"/>
        <v>0</v>
      </c>
      <c r="W33" s="30">
        <f t="shared" si="12"/>
        <v>0</v>
      </c>
      <c r="X33" s="30">
        <f t="shared" si="12"/>
        <v>0</v>
      </c>
      <c r="Y33" s="30">
        <f t="shared" si="12"/>
        <v>0</v>
      </c>
      <c r="Z33" s="30">
        <f t="shared" si="12"/>
        <v>0</v>
      </c>
      <c r="AA33" s="30">
        <f t="shared" si="12"/>
        <v>0</v>
      </c>
      <c r="AB33" s="30">
        <f t="shared" si="12"/>
        <v>0</v>
      </c>
    </row>
    <row r="34" spans="1:28" x14ac:dyDescent="0.2">
      <c r="A34" s="24" t="s">
        <v>592</v>
      </c>
      <c r="B34" s="24">
        <v>1</v>
      </c>
      <c r="C34" s="24">
        <v>1</v>
      </c>
      <c r="D34" s="24">
        <v>9</v>
      </c>
      <c r="E34" s="24">
        <v>2</v>
      </c>
      <c r="F34" s="24">
        <v>1</v>
      </c>
      <c r="G34" s="24">
        <v>0</v>
      </c>
      <c r="H34" s="24">
        <v>0</v>
      </c>
      <c r="I34" s="13"/>
      <c r="J34" s="12"/>
      <c r="K34" s="10"/>
      <c r="L34" s="10"/>
      <c r="M34" s="10" t="s">
        <v>242</v>
      </c>
      <c r="N34" s="10"/>
      <c r="O34" s="10"/>
      <c r="P34" s="71"/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</row>
    <row r="35" spans="1:28" x14ac:dyDescent="0.2">
      <c r="A35" s="24" t="s">
        <v>591</v>
      </c>
      <c r="B35" s="24">
        <v>1</v>
      </c>
      <c r="C35" s="24">
        <v>1</v>
      </c>
      <c r="D35" s="24">
        <v>9</v>
      </c>
      <c r="E35" s="24">
        <v>2</v>
      </c>
      <c r="F35" s="24">
        <v>2</v>
      </c>
      <c r="G35" s="24">
        <v>0</v>
      </c>
      <c r="H35" s="24">
        <v>0</v>
      </c>
      <c r="I35" s="13"/>
      <c r="J35" s="12"/>
      <c r="K35" s="10"/>
      <c r="L35" s="10"/>
      <c r="M35" s="10" t="s">
        <v>240</v>
      </c>
      <c r="N35" s="10"/>
      <c r="O35" s="10"/>
      <c r="P35" s="71"/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</row>
    <row r="36" spans="1:28" x14ac:dyDescent="0.2">
      <c r="A36" s="24" t="s">
        <v>590</v>
      </c>
      <c r="B36" s="24">
        <v>1</v>
      </c>
      <c r="C36" s="24">
        <v>1</v>
      </c>
      <c r="D36" s="24">
        <v>9</v>
      </c>
      <c r="E36" s="24">
        <v>2</v>
      </c>
      <c r="F36" s="24">
        <v>50</v>
      </c>
      <c r="G36" s="24">
        <v>0</v>
      </c>
      <c r="H36" s="24">
        <v>0</v>
      </c>
      <c r="I36" s="13"/>
      <c r="J36" s="12"/>
      <c r="K36" s="10"/>
      <c r="L36" s="10"/>
      <c r="M36" s="10" t="s">
        <v>577</v>
      </c>
      <c r="N36" s="10"/>
      <c r="O36" s="10"/>
      <c r="P36" s="71"/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</row>
    <row r="37" spans="1:28" x14ac:dyDescent="0.2">
      <c r="A37" s="33" t="s">
        <v>589</v>
      </c>
      <c r="B37" s="33">
        <v>1</v>
      </c>
      <c r="C37" s="33">
        <v>1</v>
      </c>
      <c r="D37" s="33">
        <v>9</v>
      </c>
      <c r="E37" s="33">
        <v>3</v>
      </c>
      <c r="F37" s="33">
        <v>0</v>
      </c>
      <c r="G37" s="33">
        <v>0</v>
      </c>
      <c r="H37" s="33">
        <v>0</v>
      </c>
      <c r="I37" s="19"/>
      <c r="J37" s="26"/>
      <c r="K37" s="17"/>
      <c r="L37" s="17" t="s">
        <v>588</v>
      </c>
      <c r="M37" s="17"/>
      <c r="N37" s="17"/>
      <c r="O37" s="17"/>
      <c r="P37" s="31"/>
      <c r="Q37" s="30">
        <f t="shared" ref="Q37:AB37" si="13">+Q38+Q39+Q40+Q41+Q42</f>
        <v>968706</v>
      </c>
      <c r="R37" s="30">
        <f t="shared" si="13"/>
        <v>1653141</v>
      </c>
      <c r="S37" s="30">
        <f t="shared" si="13"/>
        <v>10287164</v>
      </c>
      <c r="T37" s="30">
        <f t="shared" si="13"/>
        <v>1643434</v>
      </c>
      <c r="U37" s="30">
        <f t="shared" si="13"/>
        <v>1620286</v>
      </c>
      <c r="V37" s="30">
        <f t="shared" si="13"/>
        <v>1621290</v>
      </c>
      <c r="W37" s="30">
        <f t="shared" si="13"/>
        <v>7852139</v>
      </c>
      <c r="X37" s="30">
        <f t="shared" si="13"/>
        <v>2698446</v>
      </c>
      <c r="Y37" s="30">
        <f t="shared" si="13"/>
        <v>1774511.5099999998</v>
      </c>
      <c r="Z37" s="30">
        <f t="shared" si="13"/>
        <v>1665250</v>
      </c>
      <c r="AA37" s="30">
        <f t="shared" si="13"/>
        <v>9729664</v>
      </c>
      <c r="AB37" s="30">
        <f t="shared" si="13"/>
        <v>1698619.9300000002</v>
      </c>
    </row>
    <row r="38" spans="1:28" x14ac:dyDescent="0.2">
      <c r="A38" s="24" t="s">
        <v>587</v>
      </c>
      <c r="B38" s="24">
        <v>1</v>
      </c>
      <c r="C38" s="24">
        <v>1</v>
      </c>
      <c r="D38" s="24">
        <v>9</v>
      </c>
      <c r="E38" s="24">
        <v>3</v>
      </c>
      <c r="F38" s="24">
        <v>1</v>
      </c>
      <c r="G38" s="24">
        <v>0</v>
      </c>
      <c r="H38" s="24">
        <v>0</v>
      </c>
      <c r="I38" s="13"/>
      <c r="J38" s="12"/>
      <c r="K38" s="10"/>
      <c r="L38" s="10"/>
      <c r="M38" s="10" t="s">
        <v>234</v>
      </c>
      <c r="N38" s="10"/>
      <c r="O38" s="10"/>
      <c r="P38" s="71"/>
      <c r="Q38" s="8">
        <v>29855</v>
      </c>
      <c r="R38" s="8">
        <v>40295</v>
      </c>
      <c r="S38" s="8">
        <v>60765</v>
      </c>
      <c r="T38" s="8">
        <v>39686</v>
      </c>
      <c r="U38" s="8">
        <v>47395</v>
      </c>
      <c r="V38" s="8">
        <v>35401</v>
      </c>
      <c r="W38" s="8">
        <v>0</v>
      </c>
      <c r="X38" s="8">
        <v>292970</v>
      </c>
      <c r="Y38" s="8">
        <v>32415.15</v>
      </c>
      <c r="Z38" s="8">
        <v>29392</v>
      </c>
      <c r="AA38" s="8">
        <v>27705</v>
      </c>
      <c r="AB38" s="8">
        <v>0</v>
      </c>
    </row>
    <row r="39" spans="1:28" x14ac:dyDescent="0.2">
      <c r="A39" s="24" t="s">
        <v>586</v>
      </c>
      <c r="B39" s="24">
        <v>1</v>
      </c>
      <c r="C39" s="24">
        <v>1</v>
      </c>
      <c r="D39" s="24">
        <v>9</v>
      </c>
      <c r="E39" s="24">
        <v>3</v>
      </c>
      <c r="F39" s="24">
        <v>2</v>
      </c>
      <c r="G39" s="24">
        <v>0</v>
      </c>
      <c r="H39" s="24">
        <v>0</v>
      </c>
      <c r="I39" s="13"/>
      <c r="J39" s="12"/>
      <c r="K39" s="10"/>
      <c r="L39" s="10"/>
      <c r="M39" s="10" t="s">
        <v>232</v>
      </c>
      <c r="N39" s="10"/>
      <c r="O39" s="10"/>
      <c r="P39" s="71"/>
      <c r="Q39" s="8">
        <v>35840</v>
      </c>
      <c r="R39" s="8">
        <v>3662</v>
      </c>
      <c r="S39" s="8">
        <v>152255</v>
      </c>
      <c r="T39" s="8">
        <v>0</v>
      </c>
      <c r="U39" s="8">
        <v>0</v>
      </c>
      <c r="V39" s="8">
        <v>19374</v>
      </c>
      <c r="W39" s="8">
        <v>21086</v>
      </c>
      <c r="X39" s="8">
        <v>209803</v>
      </c>
      <c r="Y39" s="8">
        <v>0</v>
      </c>
      <c r="Z39" s="8">
        <v>24661</v>
      </c>
      <c r="AA39" s="8">
        <v>0</v>
      </c>
      <c r="AB39" s="8">
        <v>0</v>
      </c>
    </row>
    <row r="40" spans="1:28" x14ac:dyDescent="0.2">
      <c r="A40" s="24" t="s">
        <v>585</v>
      </c>
      <c r="B40" s="24">
        <v>1</v>
      </c>
      <c r="C40" s="24">
        <v>1</v>
      </c>
      <c r="D40" s="24">
        <v>9</v>
      </c>
      <c r="E40" s="24">
        <v>3</v>
      </c>
      <c r="F40" s="24">
        <v>3</v>
      </c>
      <c r="G40" s="24">
        <v>0</v>
      </c>
      <c r="H40" s="24">
        <v>0</v>
      </c>
      <c r="I40" s="13"/>
      <c r="J40" s="12"/>
      <c r="K40" s="10"/>
      <c r="L40" s="10"/>
      <c r="M40" s="10" t="s">
        <v>230</v>
      </c>
      <c r="N40" s="10"/>
      <c r="O40" s="10"/>
      <c r="P40" s="71"/>
      <c r="Q40" s="8">
        <v>903011</v>
      </c>
      <c r="R40" s="8">
        <v>1600365</v>
      </c>
      <c r="S40" s="8">
        <v>9980858</v>
      </c>
      <c r="T40" s="8">
        <v>1603748</v>
      </c>
      <c r="U40" s="8">
        <v>1572891</v>
      </c>
      <c r="V40" s="8">
        <v>1556951</v>
      </c>
      <c r="W40" s="8">
        <v>7829768</v>
      </c>
      <c r="X40" s="8">
        <v>2152884</v>
      </c>
      <c r="Y40" s="8">
        <v>1647822.42</v>
      </c>
      <c r="Z40" s="8">
        <v>1611197</v>
      </c>
      <c r="AA40" s="8">
        <v>9574133</v>
      </c>
      <c r="AB40" s="8">
        <f>1454714.04+243905.89</f>
        <v>1698619.9300000002</v>
      </c>
    </row>
    <row r="41" spans="1:28" x14ac:dyDescent="0.2">
      <c r="A41" s="24" t="s">
        <v>584</v>
      </c>
      <c r="B41" s="24">
        <v>1</v>
      </c>
      <c r="C41" s="24">
        <v>1</v>
      </c>
      <c r="D41" s="24">
        <v>9</v>
      </c>
      <c r="E41" s="24">
        <v>3</v>
      </c>
      <c r="F41" s="24">
        <v>4</v>
      </c>
      <c r="G41" s="24">
        <v>0</v>
      </c>
      <c r="H41" s="24">
        <v>0</v>
      </c>
      <c r="I41" s="13"/>
      <c r="J41" s="12"/>
      <c r="K41" s="10"/>
      <c r="L41" s="10"/>
      <c r="M41" s="10" t="s">
        <v>228</v>
      </c>
      <c r="N41" s="10"/>
      <c r="O41" s="10"/>
      <c r="P41" s="71"/>
      <c r="Q41" s="8">
        <v>0</v>
      </c>
      <c r="R41" s="8">
        <v>389</v>
      </c>
      <c r="S41" s="8">
        <v>4631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89717</v>
      </c>
      <c r="AB41" s="8">
        <v>0</v>
      </c>
    </row>
    <row r="42" spans="1:28" x14ac:dyDescent="0.2">
      <c r="A42" s="24" t="s">
        <v>583</v>
      </c>
      <c r="B42" s="24">
        <v>1</v>
      </c>
      <c r="C42" s="24">
        <v>1</v>
      </c>
      <c r="D42" s="24">
        <v>9</v>
      </c>
      <c r="E42" s="24">
        <v>3</v>
      </c>
      <c r="F42" s="24">
        <v>50</v>
      </c>
      <c r="G42" s="24">
        <v>0</v>
      </c>
      <c r="H42" s="24">
        <v>0</v>
      </c>
      <c r="I42" s="13"/>
      <c r="J42" s="12"/>
      <c r="K42" s="10"/>
      <c r="L42" s="10"/>
      <c r="M42" s="10" t="s">
        <v>226</v>
      </c>
      <c r="N42" s="10"/>
      <c r="O42" s="10"/>
      <c r="P42" s="71"/>
      <c r="Q42" s="8">
        <v>0</v>
      </c>
      <c r="R42" s="8">
        <v>8430</v>
      </c>
      <c r="S42" s="8">
        <v>88655</v>
      </c>
      <c r="T42" s="8">
        <v>0</v>
      </c>
      <c r="U42" s="8">
        <v>0</v>
      </c>
      <c r="V42" s="8">
        <v>9564</v>
      </c>
      <c r="W42" s="8">
        <v>1285</v>
      </c>
      <c r="X42" s="8">
        <v>42789</v>
      </c>
      <c r="Y42" s="8">
        <v>94273.94</v>
      </c>
      <c r="Z42" s="8">
        <v>0</v>
      </c>
      <c r="AA42" s="8">
        <v>38109</v>
      </c>
      <c r="AB42" s="8">
        <v>0</v>
      </c>
    </row>
    <row r="43" spans="1:28" x14ac:dyDescent="0.2">
      <c r="A43" s="33" t="s">
        <v>582</v>
      </c>
      <c r="B43" s="33">
        <v>1</v>
      </c>
      <c r="C43" s="33">
        <v>1</v>
      </c>
      <c r="D43" s="33">
        <v>9</v>
      </c>
      <c r="E43" s="33">
        <v>4</v>
      </c>
      <c r="F43" s="33">
        <v>0</v>
      </c>
      <c r="G43" s="33">
        <v>0</v>
      </c>
      <c r="H43" s="33">
        <v>0</v>
      </c>
      <c r="I43" s="19"/>
      <c r="J43" s="26"/>
      <c r="K43" s="17"/>
      <c r="L43" s="17" t="s">
        <v>581</v>
      </c>
      <c r="M43" s="17"/>
      <c r="N43" s="17"/>
      <c r="O43" s="17"/>
      <c r="P43" s="31"/>
      <c r="Q43" s="30">
        <f t="shared" ref="Q43:AB43" si="14">+Q44+Q45+Q46</f>
        <v>2495716</v>
      </c>
      <c r="R43" s="30">
        <f t="shared" si="14"/>
        <v>1547258</v>
      </c>
      <c r="S43" s="30">
        <f t="shared" si="14"/>
        <v>4689326</v>
      </c>
      <c r="T43" s="30">
        <f t="shared" si="14"/>
        <v>1639325</v>
      </c>
      <c r="U43" s="30">
        <f t="shared" si="14"/>
        <v>1718630</v>
      </c>
      <c r="V43" s="30">
        <f t="shared" si="14"/>
        <v>1713415</v>
      </c>
      <c r="W43" s="30">
        <f t="shared" si="14"/>
        <v>4142047</v>
      </c>
      <c r="X43" s="30">
        <f t="shared" si="14"/>
        <v>2720777</v>
      </c>
      <c r="Y43" s="30">
        <f t="shared" si="14"/>
        <v>1724430.51</v>
      </c>
      <c r="Z43" s="30">
        <f t="shared" si="14"/>
        <v>1819061</v>
      </c>
      <c r="AA43" s="30">
        <f t="shared" si="14"/>
        <v>5751266</v>
      </c>
      <c r="AB43" s="30">
        <f t="shared" si="14"/>
        <v>1865255.91</v>
      </c>
    </row>
    <row r="44" spans="1:28" x14ac:dyDescent="0.2">
      <c r="A44" s="24" t="s">
        <v>580</v>
      </c>
      <c r="B44" s="24">
        <v>1</v>
      </c>
      <c r="C44" s="24">
        <v>1</v>
      </c>
      <c r="D44" s="24">
        <v>9</v>
      </c>
      <c r="E44" s="24">
        <v>4</v>
      </c>
      <c r="F44" s="24">
        <v>1</v>
      </c>
      <c r="G44" s="24">
        <v>0</v>
      </c>
      <c r="H44" s="24">
        <v>0</v>
      </c>
      <c r="I44" s="13"/>
      <c r="J44" s="12"/>
      <c r="K44" s="10"/>
      <c r="L44" s="10"/>
      <c r="M44" s="10" t="s">
        <v>222</v>
      </c>
      <c r="N44" s="10"/>
      <c r="O44" s="10"/>
      <c r="P44" s="71"/>
      <c r="Q44" s="8">
        <v>27549</v>
      </c>
      <c r="R44" s="8">
        <v>0</v>
      </c>
      <c r="S44" s="8">
        <v>1206766</v>
      </c>
      <c r="T44" s="8">
        <v>0</v>
      </c>
      <c r="U44" s="8">
        <v>30350</v>
      </c>
      <c r="V44" s="8">
        <v>0</v>
      </c>
      <c r="W44" s="8">
        <v>0</v>
      </c>
      <c r="X44" s="8">
        <v>2720777</v>
      </c>
      <c r="Y44" s="8">
        <v>0</v>
      </c>
      <c r="Z44" s="8">
        <v>33218</v>
      </c>
      <c r="AA44" s="8">
        <v>1446488</v>
      </c>
      <c r="AB44" s="8">
        <v>0</v>
      </c>
    </row>
    <row r="45" spans="1:28" x14ac:dyDescent="0.2">
      <c r="A45" s="24" t="s">
        <v>579</v>
      </c>
      <c r="B45" s="24">
        <v>1</v>
      </c>
      <c r="C45" s="24">
        <v>1</v>
      </c>
      <c r="D45" s="24">
        <v>9</v>
      </c>
      <c r="E45" s="24">
        <v>4</v>
      </c>
      <c r="F45" s="24">
        <v>2</v>
      </c>
      <c r="G45" s="24">
        <v>0</v>
      </c>
      <c r="H45" s="24">
        <v>0</v>
      </c>
      <c r="I45" s="13"/>
      <c r="J45" s="12"/>
      <c r="K45" s="10"/>
      <c r="L45" s="10"/>
      <c r="M45" s="10" t="s">
        <v>220</v>
      </c>
      <c r="N45" s="10"/>
      <c r="O45" s="10"/>
      <c r="P45" s="71"/>
      <c r="Q45" s="8">
        <v>2448357</v>
      </c>
      <c r="R45" s="8">
        <v>1505309</v>
      </c>
      <c r="S45" s="8">
        <v>3348735</v>
      </c>
      <c r="T45" s="8">
        <v>1571881</v>
      </c>
      <c r="U45" s="8">
        <v>1581295</v>
      </c>
      <c r="V45" s="8">
        <v>1613626</v>
      </c>
      <c r="W45" s="8">
        <v>1418869</v>
      </c>
      <c r="X45" s="8">
        <v>0</v>
      </c>
      <c r="Y45" s="8">
        <v>1724430.51</v>
      </c>
      <c r="Z45" s="8">
        <v>1785843</v>
      </c>
      <c r="AA45" s="8">
        <v>4304778</v>
      </c>
      <c r="AB45" s="8">
        <v>1865255.91</v>
      </c>
    </row>
    <row r="46" spans="1:28" x14ac:dyDescent="0.2">
      <c r="A46" s="24" t="s">
        <v>578</v>
      </c>
      <c r="B46" s="24">
        <v>1</v>
      </c>
      <c r="C46" s="24">
        <v>1</v>
      </c>
      <c r="D46" s="24">
        <v>9</v>
      </c>
      <c r="E46" s="24">
        <v>4</v>
      </c>
      <c r="F46" s="24">
        <v>50</v>
      </c>
      <c r="G46" s="24">
        <v>0</v>
      </c>
      <c r="H46" s="24">
        <v>0</v>
      </c>
      <c r="I46" s="13"/>
      <c r="J46" s="12"/>
      <c r="K46" s="10"/>
      <c r="L46" s="10"/>
      <c r="M46" s="10" t="s">
        <v>577</v>
      </c>
      <c r="N46" s="10"/>
      <c r="O46" s="10"/>
      <c r="P46" s="71"/>
      <c r="Q46" s="8">
        <v>19810</v>
      </c>
      <c r="R46" s="8">
        <v>41949</v>
      </c>
      <c r="S46" s="8">
        <v>133825</v>
      </c>
      <c r="T46" s="8">
        <v>67444</v>
      </c>
      <c r="U46" s="8">
        <v>106985</v>
      </c>
      <c r="V46" s="8">
        <v>99789</v>
      </c>
      <c r="W46" s="8">
        <v>2723178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</row>
    <row r="47" spans="1:28" x14ac:dyDescent="0.2">
      <c r="A47" s="33" t="s">
        <v>576</v>
      </c>
      <c r="B47" s="33">
        <v>1</v>
      </c>
      <c r="C47" s="33">
        <v>1</v>
      </c>
      <c r="D47" s="33">
        <v>9</v>
      </c>
      <c r="E47" s="33">
        <v>5</v>
      </c>
      <c r="F47" s="33">
        <v>0</v>
      </c>
      <c r="G47" s="33">
        <v>0</v>
      </c>
      <c r="H47" s="33">
        <v>0</v>
      </c>
      <c r="I47" s="19"/>
      <c r="J47" s="26"/>
      <c r="K47" s="17"/>
      <c r="L47" s="17" t="s">
        <v>575</v>
      </c>
      <c r="M47" s="17"/>
      <c r="N47" s="17"/>
      <c r="O47" s="17"/>
      <c r="P47" s="31"/>
      <c r="Q47" s="30">
        <f t="shared" ref="Q47:AB47" si="15">+Q48+Q49</f>
        <v>0</v>
      </c>
      <c r="R47" s="30">
        <f t="shared" si="15"/>
        <v>0</v>
      </c>
      <c r="S47" s="30">
        <f t="shared" si="15"/>
        <v>0</v>
      </c>
      <c r="T47" s="30">
        <f t="shared" si="15"/>
        <v>0</v>
      </c>
      <c r="U47" s="30">
        <f t="shared" si="15"/>
        <v>0</v>
      </c>
      <c r="V47" s="30">
        <f t="shared" si="15"/>
        <v>0</v>
      </c>
      <c r="W47" s="30">
        <f t="shared" si="15"/>
        <v>186339</v>
      </c>
      <c r="X47" s="30">
        <f t="shared" si="15"/>
        <v>172692</v>
      </c>
      <c r="Y47" s="30">
        <f t="shared" si="15"/>
        <v>152778.54</v>
      </c>
      <c r="Z47" s="30">
        <f t="shared" si="15"/>
        <v>135692</v>
      </c>
      <c r="AA47" s="30">
        <f t="shared" si="15"/>
        <v>206750</v>
      </c>
      <c r="AB47" s="30">
        <f t="shared" si="15"/>
        <v>213567.59</v>
      </c>
    </row>
    <row r="48" spans="1:28" x14ac:dyDescent="0.2">
      <c r="A48" s="24" t="s">
        <v>574</v>
      </c>
      <c r="B48" s="24">
        <v>1</v>
      </c>
      <c r="C48" s="24">
        <v>1</v>
      </c>
      <c r="D48" s="24">
        <v>9</v>
      </c>
      <c r="E48" s="24">
        <v>5</v>
      </c>
      <c r="F48" s="24">
        <v>1</v>
      </c>
      <c r="G48" s="24">
        <v>0</v>
      </c>
      <c r="H48" s="24">
        <v>0</v>
      </c>
      <c r="I48" s="13"/>
      <c r="J48" s="12"/>
      <c r="K48" s="10"/>
      <c r="L48" s="10"/>
      <c r="M48" s="10" t="s">
        <v>573</v>
      </c>
      <c r="N48" s="10"/>
      <c r="O48" s="10"/>
      <c r="P48" s="71"/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</row>
    <row r="49" spans="1:28" x14ac:dyDescent="0.2">
      <c r="A49" s="24" t="s">
        <v>572</v>
      </c>
      <c r="B49" s="24">
        <v>1</v>
      </c>
      <c r="C49" s="24">
        <v>1</v>
      </c>
      <c r="D49" s="24">
        <v>9</v>
      </c>
      <c r="E49" s="24">
        <v>5</v>
      </c>
      <c r="F49" s="24">
        <v>50</v>
      </c>
      <c r="G49" s="24">
        <v>0</v>
      </c>
      <c r="H49" s="24">
        <v>0</v>
      </c>
      <c r="I49" s="13"/>
      <c r="J49" s="12"/>
      <c r="K49" s="10"/>
      <c r="L49" s="10"/>
      <c r="M49" s="10" t="s">
        <v>102</v>
      </c>
      <c r="N49" s="10"/>
      <c r="O49" s="10"/>
      <c r="P49" s="71"/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186339</v>
      </c>
      <c r="X49" s="8">
        <v>172692</v>
      </c>
      <c r="Y49" s="8">
        <v>152778.54</v>
      </c>
      <c r="Z49" s="8">
        <v>135692</v>
      </c>
      <c r="AA49" s="8">
        <v>206750</v>
      </c>
      <c r="AB49" s="8">
        <v>213567.59</v>
      </c>
    </row>
    <row r="50" spans="1:28" x14ac:dyDescent="0.2">
      <c r="A50" s="24" t="s">
        <v>571</v>
      </c>
      <c r="B50" s="24">
        <v>1</v>
      </c>
      <c r="C50" s="24">
        <v>1</v>
      </c>
      <c r="D50" s="24">
        <v>9</v>
      </c>
      <c r="E50" s="24">
        <v>6</v>
      </c>
      <c r="F50" s="24">
        <v>0</v>
      </c>
      <c r="G50" s="24">
        <v>0</v>
      </c>
      <c r="H50" s="24">
        <v>0</v>
      </c>
      <c r="I50" s="13"/>
      <c r="J50" s="12"/>
      <c r="K50" s="10"/>
      <c r="L50" s="10" t="s">
        <v>570</v>
      </c>
      <c r="M50" s="10"/>
      <c r="N50" s="10"/>
      <c r="O50" s="10"/>
      <c r="P50" s="71"/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</row>
    <row r="51" spans="1:28" x14ac:dyDescent="0.2">
      <c r="A51" s="24" t="s">
        <v>569</v>
      </c>
      <c r="B51" s="24">
        <v>1</v>
      </c>
      <c r="C51" s="24">
        <v>1</v>
      </c>
      <c r="D51" s="24">
        <v>9</v>
      </c>
      <c r="E51" s="24">
        <v>7</v>
      </c>
      <c r="F51" s="24">
        <v>0</v>
      </c>
      <c r="G51" s="24">
        <v>0</v>
      </c>
      <c r="H51" s="24">
        <v>0</v>
      </c>
      <c r="I51" s="13"/>
      <c r="J51" s="12"/>
      <c r="K51" s="10"/>
      <c r="L51" s="10" t="s">
        <v>568</v>
      </c>
      <c r="M51" s="10"/>
      <c r="N51" s="10"/>
      <c r="O51" s="10"/>
      <c r="P51" s="71"/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578</v>
      </c>
      <c r="AB51" s="8">
        <v>0</v>
      </c>
    </row>
    <row r="52" spans="1:28" x14ac:dyDescent="0.2">
      <c r="A52" s="24" t="s">
        <v>567</v>
      </c>
      <c r="B52" s="24">
        <v>1</v>
      </c>
      <c r="C52" s="24">
        <v>1</v>
      </c>
      <c r="D52" s="24">
        <v>9</v>
      </c>
      <c r="E52" s="24">
        <v>50</v>
      </c>
      <c r="F52" s="24">
        <v>0</v>
      </c>
      <c r="G52" s="24">
        <v>0</v>
      </c>
      <c r="H52" s="24">
        <v>0</v>
      </c>
      <c r="I52" s="13"/>
      <c r="J52" s="12"/>
      <c r="K52" s="10"/>
      <c r="L52" s="10" t="s">
        <v>566</v>
      </c>
      <c r="M52" s="10"/>
      <c r="N52" s="10"/>
      <c r="O52" s="10"/>
      <c r="P52" s="71"/>
      <c r="Q52" s="8">
        <v>26000</v>
      </c>
      <c r="R52" s="8">
        <v>29079</v>
      </c>
      <c r="S52" s="8">
        <f>46422+4953492.4</f>
        <v>4999914.4000000004</v>
      </c>
      <c r="T52" s="8">
        <f>34051</f>
        <v>34051</v>
      </c>
      <c r="U52" s="8">
        <v>29318</v>
      </c>
      <c r="V52" s="8">
        <f>14651+453216.96-323000</f>
        <v>144867.96000000002</v>
      </c>
      <c r="W52" s="8">
        <f>27318+417451.51</f>
        <v>444769.51</v>
      </c>
      <c r="X52" s="8">
        <v>41577</v>
      </c>
      <c r="Y52" s="8">
        <v>15075.51</v>
      </c>
      <c r="Z52" s="8">
        <v>56890</v>
      </c>
      <c r="AA52" s="8">
        <f>29740+290711.54</f>
        <v>320451.53999999998</v>
      </c>
      <c r="AB52" s="8">
        <v>29250.97</v>
      </c>
    </row>
    <row r="53" spans="1:28" x14ac:dyDescent="0.2">
      <c r="A53" s="33" t="s">
        <v>565</v>
      </c>
      <c r="B53" s="33">
        <v>1</v>
      </c>
      <c r="C53" s="33">
        <v>2</v>
      </c>
      <c r="D53" s="33">
        <v>3</v>
      </c>
      <c r="E53" s="33">
        <v>0</v>
      </c>
      <c r="F53" s="33">
        <v>0</v>
      </c>
      <c r="G53" s="33">
        <v>0</v>
      </c>
      <c r="H53" s="33">
        <v>0</v>
      </c>
      <c r="I53" s="19"/>
      <c r="J53" s="26"/>
      <c r="K53" s="17" t="s">
        <v>564</v>
      </c>
      <c r="L53" s="17"/>
      <c r="M53" s="17"/>
      <c r="N53" s="17"/>
      <c r="O53" s="17"/>
      <c r="P53" s="31"/>
      <c r="Q53" s="30">
        <f t="shared" ref="Q53:AB53" si="16">+Q54+Q59+Q60+Q61+Q62+Q63</f>
        <v>3104327</v>
      </c>
      <c r="R53" s="30">
        <f t="shared" si="16"/>
        <v>1957568</v>
      </c>
      <c r="S53" s="30">
        <f t="shared" si="16"/>
        <v>3095910</v>
      </c>
      <c r="T53" s="30">
        <f t="shared" si="16"/>
        <v>1882152</v>
      </c>
      <c r="U53" s="30">
        <f t="shared" si="16"/>
        <v>2480828</v>
      </c>
      <c r="V53" s="30">
        <f t="shared" si="16"/>
        <v>2331752</v>
      </c>
      <c r="W53" s="30">
        <f t="shared" si="16"/>
        <v>1871764</v>
      </c>
      <c r="X53" s="30">
        <f t="shared" si="16"/>
        <v>4255310</v>
      </c>
      <c r="Y53" s="30">
        <f t="shared" si="16"/>
        <v>1749970.24</v>
      </c>
      <c r="Z53" s="30">
        <f t="shared" si="16"/>
        <v>2025566</v>
      </c>
      <c r="AA53" s="30">
        <f t="shared" si="16"/>
        <v>1851440</v>
      </c>
      <c r="AB53" s="30">
        <f t="shared" si="16"/>
        <v>2283042.4700000002</v>
      </c>
    </row>
    <row r="54" spans="1:28" x14ac:dyDescent="0.2">
      <c r="A54" s="33" t="s">
        <v>563</v>
      </c>
      <c r="B54" s="33">
        <v>1</v>
      </c>
      <c r="C54" s="33">
        <v>2</v>
      </c>
      <c r="D54" s="33">
        <v>3</v>
      </c>
      <c r="E54" s="33">
        <v>1</v>
      </c>
      <c r="F54" s="33">
        <v>0</v>
      </c>
      <c r="G54" s="33">
        <v>0</v>
      </c>
      <c r="H54" s="33">
        <v>0</v>
      </c>
      <c r="I54" s="19"/>
      <c r="J54" s="26"/>
      <c r="K54" s="17"/>
      <c r="L54" s="17" t="s">
        <v>562</v>
      </c>
      <c r="M54" s="17"/>
      <c r="N54" s="17"/>
      <c r="O54" s="17"/>
      <c r="P54" s="31"/>
      <c r="Q54" s="30">
        <f t="shared" ref="Q54:AB54" si="17">+Q55+Q56+Q57+Q58</f>
        <v>3104327</v>
      </c>
      <c r="R54" s="30">
        <f t="shared" si="17"/>
        <v>1957568</v>
      </c>
      <c r="S54" s="30">
        <f t="shared" si="17"/>
        <v>3095910</v>
      </c>
      <c r="T54" s="30">
        <f t="shared" si="17"/>
        <v>1882152</v>
      </c>
      <c r="U54" s="30">
        <f t="shared" si="17"/>
        <v>2480828</v>
      </c>
      <c r="V54" s="30">
        <f t="shared" si="17"/>
        <v>2331752</v>
      </c>
      <c r="W54" s="30">
        <f t="shared" si="17"/>
        <v>1871764</v>
      </c>
      <c r="X54" s="30">
        <f t="shared" si="17"/>
        <v>4255310</v>
      </c>
      <c r="Y54" s="30">
        <f t="shared" si="17"/>
        <v>1749970.24</v>
      </c>
      <c r="Z54" s="30">
        <f t="shared" si="17"/>
        <v>2025566</v>
      </c>
      <c r="AA54" s="30">
        <f t="shared" si="17"/>
        <v>1851440</v>
      </c>
      <c r="AB54" s="30">
        <f t="shared" si="17"/>
        <v>2283042.4700000002</v>
      </c>
    </row>
    <row r="55" spans="1:28" x14ac:dyDescent="0.2">
      <c r="A55" s="24" t="s">
        <v>561</v>
      </c>
      <c r="B55" s="24">
        <v>1</v>
      </c>
      <c r="C55" s="24">
        <v>2</v>
      </c>
      <c r="D55" s="24">
        <v>3</v>
      </c>
      <c r="E55" s="24">
        <v>1</v>
      </c>
      <c r="F55" s="24">
        <v>1</v>
      </c>
      <c r="G55" s="24">
        <v>0</v>
      </c>
      <c r="H55" s="24">
        <v>0</v>
      </c>
      <c r="I55" s="13"/>
      <c r="J55" s="12"/>
      <c r="K55" s="10"/>
      <c r="L55" s="10"/>
      <c r="M55" s="10" t="s">
        <v>200</v>
      </c>
      <c r="N55" s="10"/>
      <c r="O55" s="10"/>
      <c r="P55" s="71"/>
      <c r="Q55" s="8">
        <v>1185</v>
      </c>
      <c r="R55" s="8">
        <v>9740</v>
      </c>
      <c r="S55" s="8">
        <v>17750</v>
      </c>
      <c r="T55" s="8">
        <v>0</v>
      </c>
      <c r="U55" s="8">
        <v>34143</v>
      </c>
      <c r="V55" s="8">
        <v>4507</v>
      </c>
      <c r="W55" s="8">
        <v>11550</v>
      </c>
      <c r="X55" s="8">
        <v>0</v>
      </c>
      <c r="Y55" s="8">
        <v>6671.64</v>
      </c>
      <c r="Z55" s="8">
        <f>2415+21386</f>
        <v>23801</v>
      </c>
      <c r="AA55" s="8">
        <v>0</v>
      </c>
      <c r="AB55" s="8">
        <v>0</v>
      </c>
    </row>
    <row r="56" spans="1:28" x14ac:dyDescent="0.2">
      <c r="A56" s="24" t="s">
        <v>560</v>
      </c>
      <c r="B56" s="24">
        <v>1</v>
      </c>
      <c r="C56" s="24">
        <v>2</v>
      </c>
      <c r="D56" s="24">
        <v>3</v>
      </c>
      <c r="E56" s="24">
        <v>1</v>
      </c>
      <c r="F56" s="24">
        <v>2</v>
      </c>
      <c r="G56" s="24">
        <v>0</v>
      </c>
      <c r="H56" s="24">
        <v>0</v>
      </c>
      <c r="I56" s="13"/>
      <c r="J56" s="12"/>
      <c r="K56" s="10"/>
      <c r="L56" s="10"/>
      <c r="M56" s="10" t="s">
        <v>198</v>
      </c>
      <c r="N56" s="10"/>
      <c r="O56" s="10"/>
      <c r="P56" s="71"/>
      <c r="Q56" s="8">
        <v>0</v>
      </c>
      <c r="R56" s="8">
        <v>110598</v>
      </c>
      <c r="S56" s="8">
        <v>125130</v>
      </c>
      <c r="T56" s="8">
        <v>7475</v>
      </c>
      <c r="U56" s="8">
        <v>44113</v>
      </c>
      <c r="V56" s="8">
        <f>22647+20247</f>
        <v>42894</v>
      </c>
      <c r="W56" s="8">
        <f>44939+21423</f>
        <v>66362</v>
      </c>
      <c r="X56" s="8">
        <v>271223</v>
      </c>
      <c r="Y56" s="8">
        <v>0</v>
      </c>
      <c r="Z56" s="8">
        <v>0</v>
      </c>
      <c r="AA56" s="8">
        <v>107497</v>
      </c>
      <c r="AB56" s="8">
        <v>77565.84</v>
      </c>
    </row>
    <row r="57" spans="1:28" x14ac:dyDescent="0.2">
      <c r="A57" s="24" t="s">
        <v>559</v>
      </c>
      <c r="B57" s="24">
        <v>1</v>
      </c>
      <c r="C57" s="24">
        <v>2</v>
      </c>
      <c r="D57" s="24">
        <v>3</v>
      </c>
      <c r="E57" s="24">
        <v>1</v>
      </c>
      <c r="F57" s="24">
        <v>3</v>
      </c>
      <c r="G57" s="24">
        <v>0</v>
      </c>
      <c r="H57" s="24">
        <v>0</v>
      </c>
      <c r="I57" s="13"/>
      <c r="J57" s="12"/>
      <c r="K57" s="10"/>
      <c r="L57" s="10"/>
      <c r="M57" s="10" t="s">
        <v>196</v>
      </c>
      <c r="N57" s="10"/>
      <c r="O57" s="10"/>
      <c r="P57" s="71"/>
      <c r="Q57" s="8">
        <v>3103142</v>
      </c>
      <c r="R57" s="8">
        <v>1837230</v>
      </c>
      <c r="S57" s="8">
        <v>2953030</v>
      </c>
      <c r="T57" s="8">
        <v>1874677</v>
      </c>
      <c r="U57" s="8">
        <v>2402572</v>
      </c>
      <c r="V57" s="8">
        <f>2271651+12700</f>
        <v>2284351</v>
      </c>
      <c r="W57" s="8">
        <v>1793852</v>
      </c>
      <c r="X57" s="8">
        <v>3984087</v>
      </c>
      <c r="Y57" s="8">
        <v>1743298.6</v>
      </c>
      <c r="Z57" s="8">
        <v>2001765</v>
      </c>
      <c r="AA57" s="8">
        <v>1743943</v>
      </c>
      <c r="AB57" s="8">
        <f>933485.85+691923.44+464913.53+33826.59+25666.97+24691.04+4565.19+3808.57+3423.04</f>
        <v>2186304.2200000002</v>
      </c>
    </row>
    <row r="58" spans="1:28" x14ac:dyDescent="0.2">
      <c r="A58" s="24" t="s">
        <v>558</v>
      </c>
      <c r="B58" s="24">
        <v>1</v>
      </c>
      <c r="C58" s="24">
        <v>2</v>
      </c>
      <c r="D58" s="24">
        <v>3</v>
      </c>
      <c r="E58" s="24">
        <v>1</v>
      </c>
      <c r="F58" s="24">
        <v>4</v>
      </c>
      <c r="G58" s="24">
        <v>0</v>
      </c>
      <c r="H58" s="24">
        <v>0</v>
      </c>
      <c r="I58" s="13"/>
      <c r="J58" s="12"/>
      <c r="K58" s="10"/>
      <c r="L58" s="10"/>
      <c r="M58" s="10" t="s">
        <v>102</v>
      </c>
      <c r="N58" s="10"/>
      <c r="O58" s="10"/>
      <c r="P58" s="71"/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19172.41</v>
      </c>
    </row>
    <row r="59" spans="1:28" x14ac:dyDescent="0.2">
      <c r="A59" s="24" t="s">
        <v>557</v>
      </c>
      <c r="B59" s="24">
        <v>1</v>
      </c>
      <c r="C59" s="24">
        <v>2</v>
      </c>
      <c r="D59" s="24">
        <v>3</v>
      </c>
      <c r="E59" s="24">
        <v>2</v>
      </c>
      <c r="F59" s="24">
        <v>0</v>
      </c>
      <c r="G59" s="24">
        <v>0</v>
      </c>
      <c r="H59" s="24">
        <v>0</v>
      </c>
      <c r="I59" s="13"/>
      <c r="J59" s="12"/>
      <c r="K59" s="10"/>
      <c r="L59" s="10" t="s">
        <v>556</v>
      </c>
      <c r="M59" s="10"/>
      <c r="N59" s="10"/>
      <c r="O59" s="10"/>
      <c r="P59" s="71"/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</row>
    <row r="60" spans="1:28" x14ac:dyDescent="0.2">
      <c r="A60" s="24" t="s">
        <v>555</v>
      </c>
      <c r="B60" s="24">
        <v>1</v>
      </c>
      <c r="C60" s="24">
        <v>2</v>
      </c>
      <c r="D60" s="24">
        <v>3</v>
      </c>
      <c r="E60" s="24">
        <v>3</v>
      </c>
      <c r="F60" s="24">
        <v>0</v>
      </c>
      <c r="G60" s="24">
        <v>0</v>
      </c>
      <c r="H60" s="24">
        <v>0</v>
      </c>
      <c r="I60" s="13"/>
      <c r="J60" s="12"/>
      <c r="K60" s="10"/>
      <c r="L60" s="10" t="s">
        <v>554</v>
      </c>
      <c r="M60" s="10"/>
      <c r="N60" s="10"/>
      <c r="O60" s="10"/>
      <c r="P60" s="71"/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</row>
    <row r="61" spans="1:28" x14ac:dyDescent="0.2">
      <c r="A61" s="24" t="s">
        <v>553</v>
      </c>
      <c r="B61" s="24">
        <v>1</v>
      </c>
      <c r="C61" s="24">
        <v>2</v>
      </c>
      <c r="D61" s="24">
        <v>3</v>
      </c>
      <c r="E61" s="24">
        <v>4</v>
      </c>
      <c r="F61" s="24">
        <v>0</v>
      </c>
      <c r="G61" s="24">
        <v>0</v>
      </c>
      <c r="H61" s="24">
        <v>0</v>
      </c>
      <c r="I61" s="13"/>
      <c r="J61" s="12"/>
      <c r="K61" s="10"/>
      <c r="L61" s="10" t="s">
        <v>552</v>
      </c>
      <c r="M61" s="10"/>
      <c r="N61" s="10"/>
      <c r="O61" s="10"/>
      <c r="P61" s="71"/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</row>
    <row r="62" spans="1:28" x14ac:dyDescent="0.2">
      <c r="A62" s="24" t="s">
        <v>551</v>
      </c>
      <c r="B62" s="24">
        <v>1</v>
      </c>
      <c r="C62" s="24">
        <v>2</v>
      </c>
      <c r="D62" s="24">
        <v>3</v>
      </c>
      <c r="E62" s="24">
        <v>5</v>
      </c>
      <c r="F62" s="24">
        <v>0</v>
      </c>
      <c r="G62" s="24">
        <v>0</v>
      </c>
      <c r="H62" s="24">
        <v>0</v>
      </c>
      <c r="I62" s="13"/>
      <c r="J62" s="12"/>
      <c r="K62" s="10"/>
      <c r="L62" s="10" t="s">
        <v>186</v>
      </c>
      <c r="M62" s="10"/>
      <c r="N62" s="10"/>
      <c r="O62" s="10"/>
      <c r="P62" s="71"/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</row>
    <row r="63" spans="1:28" x14ac:dyDescent="0.2">
      <c r="A63" s="24" t="s">
        <v>550</v>
      </c>
      <c r="B63" s="24">
        <v>1</v>
      </c>
      <c r="C63" s="24">
        <v>2</v>
      </c>
      <c r="D63" s="24">
        <v>3</v>
      </c>
      <c r="E63" s="24">
        <v>50</v>
      </c>
      <c r="F63" s="24">
        <v>0</v>
      </c>
      <c r="G63" s="24">
        <v>0</v>
      </c>
      <c r="H63" s="24">
        <v>0</v>
      </c>
      <c r="I63" s="13"/>
      <c r="J63" s="12"/>
      <c r="K63" s="10"/>
      <c r="L63" s="10" t="s">
        <v>549</v>
      </c>
      <c r="M63" s="10"/>
      <c r="N63" s="10"/>
      <c r="O63" s="10"/>
      <c r="P63" s="97"/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</row>
    <row r="64" spans="1:28" x14ac:dyDescent="0.2">
      <c r="A64" s="24" t="s">
        <v>548</v>
      </c>
      <c r="B64" s="24">
        <v>1</v>
      </c>
      <c r="C64" s="24">
        <v>5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13"/>
      <c r="J64" s="11"/>
      <c r="K64" s="10" t="s">
        <v>547</v>
      </c>
      <c r="L64" s="10"/>
      <c r="M64" s="10"/>
      <c r="N64" s="10"/>
      <c r="O64" s="10"/>
      <c r="P64" s="97"/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</row>
    <row r="65" spans="1:28" x14ac:dyDescent="0.2">
      <c r="A65" s="33" t="s">
        <v>546</v>
      </c>
      <c r="B65" s="33">
        <v>1</v>
      </c>
      <c r="C65" s="33">
        <v>3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19"/>
      <c r="J65" s="32"/>
      <c r="K65" s="17" t="s">
        <v>545</v>
      </c>
      <c r="L65" s="32"/>
      <c r="M65" s="17"/>
      <c r="N65" s="17"/>
      <c r="O65" s="17"/>
      <c r="P65" s="96"/>
      <c r="Q65" s="30">
        <f t="shared" ref="Q65:AB65" si="18">+Q66+Q82+Q101+Q104</f>
        <v>0</v>
      </c>
      <c r="R65" s="30">
        <f t="shared" si="18"/>
        <v>0</v>
      </c>
      <c r="S65" s="30">
        <f t="shared" si="18"/>
        <v>0</v>
      </c>
      <c r="T65" s="30">
        <f t="shared" si="18"/>
        <v>0</v>
      </c>
      <c r="U65" s="30">
        <f t="shared" si="18"/>
        <v>0</v>
      </c>
      <c r="V65" s="30">
        <f t="shared" si="18"/>
        <v>0</v>
      </c>
      <c r="W65" s="30">
        <f t="shared" si="18"/>
        <v>0</v>
      </c>
      <c r="X65" s="30">
        <f t="shared" si="18"/>
        <v>0</v>
      </c>
      <c r="Y65" s="30">
        <f t="shared" si="18"/>
        <v>0</v>
      </c>
      <c r="Z65" s="30">
        <f t="shared" si="18"/>
        <v>0</v>
      </c>
      <c r="AA65" s="30">
        <f t="shared" si="18"/>
        <v>0</v>
      </c>
      <c r="AB65" s="30">
        <f t="shared" si="18"/>
        <v>0</v>
      </c>
    </row>
    <row r="66" spans="1:28" x14ac:dyDescent="0.2">
      <c r="A66" s="33" t="s">
        <v>544</v>
      </c>
      <c r="B66" s="33">
        <v>1</v>
      </c>
      <c r="C66" s="33">
        <v>3</v>
      </c>
      <c r="D66" s="33">
        <v>1</v>
      </c>
      <c r="E66" s="33">
        <v>1</v>
      </c>
      <c r="F66" s="33">
        <v>3</v>
      </c>
      <c r="G66" s="33">
        <v>0</v>
      </c>
      <c r="H66" s="33">
        <v>0</v>
      </c>
      <c r="I66" s="19"/>
      <c r="J66" s="26"/>
      <c r="K66" s="95"/>
      <c r="L66" s="26" t="s">
        <v>543</v>
      </c>
      <c r="M66" s="32"/>
      <c r="N66" s="17"/>
      <c r="O66" s="17"/>
      <c r="P66" s="94"/>
      <c r="Q66" s="30">
        <f t="shared" ref="Q66:AB66" si="19">+Q67+Q68+Q69+Q70+Q71+Q72+Q73+Q74+Q75+Q76+Q77+Q78+Q79</f>
        <v>0</v>
      </c>
      <c r="R66" s="30">
        <f t="shared" si="19"/>
        <v>0</v>
      </c>
      <c r="S66" s="30">
        <f t="shared" si="19"/>
        <v>0</v>
      </c>
      <c r="T66" s="30">
        <f t="shared" si="19"/>
        <v>0</v>
      </c>
      <c r="U66" s="30">
        <f t="shared" si="19"/>
        <v>0</v>
      </c>
      <c r="V66" s="30">
        <f t="shared" si="19"/>
        <v>0</v>
      </c>
      <c r="W66" s="30">
        <f t="shared" si="19"/>
        <v>0</v>
      </c>
      <c r="X66" s="30">
        <f t="shared" si="19"/>
        <v>0</v>
      </c>
      <c r="Y66" s="30">
        <f t="shared" si="19"/>
        <v>0</v>
      </c>
      <c r="Z66" s="30">
        <f t="shared" si="19"/>
        <v>0</v>
      </c>
      <c r="AA66" s="30">
        <f t="shared" si="19"/>
        <v>0</v>
      </c>
      <c r="AB66" s="30">
        <f t="shared" si="19"/>
        <v>0</v>
      </c>
    </row>
    <row r="67" spans="1:28" x14ac:dyDescent="0.2">
      <c r="A67" s="24" t="s">
        <v>542</v>
      </c>
      <c r="B67" s="24">
        <v>1</v>
      </c>
      <c r="C67" s="24">
        <v>3</v>
      </c>
      <c r="D67" s="24">
        <v>1</v>
      </c>
      <c r="E67" s="24">
        <v>1</v>
      </c>
      <c r="F67" s="24">
        <v>3</v>
      </c>
      <c r="G67" s="24">
        <v>1</v>
      </c>
      <c r="H67" s="24">
        <v>0</v>
      </c>
      <c r="I67" s="13"/>
      <c r="J67" s="12"/>
      <c r="K67" s="10"/>
      <c r="L67" s="10"/>
      <c r="M67" s="10" t="s">
        <v>541</v>
      </c>
      <c r="N67" s="11"/>
      <c r="O67" s="10"/>
      <c r="P67" s="93"/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</row>
    <row r="68" spans="1:28" x14ac:dyDescent="0.2">
      <c r="A68" s="24" t="s">
        <v>540</v>
      </c>
      <c r="B68" s="24">
        <v>1</v>
      </c>
      <c r="C68" s="24">
        <v>3</v>
      </c>
      <c r="D68" s="24">
        <v>1</v>
      </c>
      <c r="E68" s="24">
        <v>1</v>
      </c>
      <c r="F68" s="24">
        <v>3</v>
      </c>
      <c r="G68" s="24">
        <v>2</v>
      </c>
      <c r="H68" s="24">
        <v>0</v>
      </c>
      <c r="I68" s="13"/>
      <c r="J68" s="12"/>
      <c r="K68" s="10"/>
      <c r="L68" s="10"/>
      <c r="M68" s="10" t="s">
        <v>539</v>
      </c>
      <c r="N68" s="11"/>
      <c r="O68" s="10"/>
      <c r="P68" s="93"/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</row>
    <row r="69" spans="1:28" x14ac:dyDescent="0.2">
      <c r="A69" s="24" t="s">
        <v>538</v>
      </c>
      <c r="B69" s="24">
        <v>1</v>
      </c>
      <c r="C69" s="24">
        <v>3</v>
      </c>
      <c r="D69" s="24">
        <v>1</v>
      </c>
      <c r="E69" s="24">
        <v>1</v>
      </c>
      <c r="F69" s="24">
        <v>3</v>
      </c>
      <c r="G69" s="24">
        <v>3</v>
      </c>
      <c r="H69" s="24">
        <v>0</v>
      </c>
      <c r="I69" s="13"/>
      <c r="J69" s="12"/>
      <c r="K69" s="10"/>
      <c r="L69" s="10"/>
      <c r="M69" s="10" t="s">
        <v>537</v>
      </c>
      <c r="N69" s="11"/>
      <c r="O69" s="10"/>
      <c r="P69" s="93"/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</row>
    <row r="70" spans="1:28" x14ac:dyDescent="0.2">
      <c r="A70" s="24" t="s">
        <v>536</v>
      </c>
      <c r="B70" s="24">
        <v>1</v>
      </c>
      <c r="C70" s="24">
        <v>3</v>
      </c>
      <c r="D70" s="24">
        <v>1</v>
      </c>
      <c r="E70" s="24">
        <v>1</v>
      </c>
      <c r="F70" s="24">
        <v>3</v>
      </c>
      <c r="G70" s="24">
        <v>4</v>
      </c>
      <c r="H70" s="24">
        <v>0</v>
      </c>
      <c r="I70" s="13"/>
      <c r="J70" s="12"/>
      <c r="K70" s="10"/>
      <c r="L70" s="10"/>
      <c r="M70" s="10" t="s">
        <v>535</v>
      </c>
      <c r="N70" s="11"/>
      <c r="O70" s="10"/>
      <c r="P70" s="93"/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</row>
    <row r="71" spans="1:28" x14ac:dyDescent="0.2">
      <c r="A71" s="24" t="s">
        <v>534</v>
      </c>
      <c r="B71" s="24">
        <v>1</v>
      </c>
      <c r="C71" s="24">
        <v>3</v>
      </c>
      <c r="D71" s="24">
        <v>1</v>
      </c>
      <c r="E71" s="24">
        <v>1</v>
      </c>
      <c r="F71" s="24">
        <v>3</v>
      </c>
      <c r="G71" s="24">
        <v>5</v>
      </c>
      <c r="H71" s="24">
        <v>0</v>
      </c>
      <c r="I71" s="13"/>
      <c r="J71" s="12"/>
      <c r="K71" s="10"/>
      <c r="L71" s="10"/>
      <c r="M71" s="10" t="s">
        <v>533</v>
      </c>
      <c r="N71" s="11"/>
      <c r="O71" s="10"/>
      <c r="P71" s="93"/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</row>
    <row r="72" spans="1:28" x14ac:dyDescent="0.2">
      <c r="A72" s="24" t="s">
        <v>532</v>
      </c>
      <c r="B72" s="24">
        <v>1</v>
      </c>
      <c r="C72" s="24">
        <v>3</v>
      </c>
      <c r="D72" s="24">
        <v>1</v>
      </c>
      <c r="E72" s="24">
        <v>1</v>
      </c>
      <c r="F72" s="24">
        <v>3</v>
      </c>
      <c r="G72" s="24">
        <v>6</v>
      </c>
      <c r="H72" s="24">
        <v>0</v>
      </c>
      <c r="I72" s="13"/>
      <c r="J72" s="12"/>
      <c r="K72" s="10"/>
      <c r="L72" s="10"/>
      <c r="M72" s="10" t="s">
        <v>531</v>
      </c>
      <c r="N72" s="11"/>
      <c r="O72" s="10"/>
      <c r="P72" s="9"/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</row>
    <row r="73" spans="1:28" x14ac:dyDescent="0.2">
      <c r="A73" s="24" t="s">
        <v>530</v>
      </c>
      <c r="B73" s="24">
        <v>1</v>
      </c>
      <c r="C73" s="24">
        <v>3</v>
      </c>
      <c r="D73" s="24">
        <v>1</v>
      </c>
      <c r="E73" s="24">
        <v>1</v>
      </c>
      <c r="F73" s="24">
        <v>3</v>
      </c>
      <c r="G73" s="24">
        <v>8</v>
      </c>
      <c r="H73" s="24">
        <v>0</v>
      </c>
      <c r="I73" s="13"/>
      <c r="J73" s="12"/>
      <c r="K73" s="10"/>
      <c r="L73" s="10"/>
      <c r="M73" s="10" t="s">
        <v>529</v>
      </c>
      <c r="N73" s="11"/>
      <c r="O73" s="10"/>
      <c r="P73" s="9"/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</row>
    <row r="74" spans="1:28" x14ac:dyDescent="0.2">
      <c r="A74" s="24" t="s">
        <v>528</v>
      </c>
      <c r="B74" s="24">
        <v>1</v>
      </c>
      <c r="C74" s="24">
        <v>3</v>
      </c>
      <c r="D74" s="24">
        <v>1</v>
      </c>
      <c r="E74" s="24">
        <v>1</v>
      </c>
      <c r="F74" s="24">
        <v>3</v>
      </c>
      <c r="G74" s="24">
        <v>9</v>
      </c>
      <c r="H74" s="24">
        <v>0</v>
      </c>
      <c r="I74" s="13"/>
      <c r="J74" s="12"/>
      <c r="K74" s="10"/>
      <c r="L74" s="10"/>
      <c r="M74" s="10" t="s">
        <v>527</v>
      </c>
      <c r="N74" s="11"/>
      <c r="O74" s="10"/>
      <c r="P74" s="9"/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</row>
    <row r="75" spans="1:28" x14ac:dyDescent="0.2">
      <c r="A75" s="24" t="s">
        <v>526</v>
      </c>
      <c r="B75" s="24">
        <v>1</v>
      </c>
      <c r="C75" s="24">
        <v>3</v>
      </c>
      <c r="D75" s="24">
        <v>1</v>
      </c>
      <c r="E75" s="24">
        <v>1</v>
      </c>
      <c r="F75" s="24">
        <v>3</v>
      </c>
      <c r="G75" s="24">
        <v>10</v>
      </c>
      <c r="H75" s="24">
        <v>0</v>
      </c>
      <c r="I75" s="13"/>
      <c r="J75" s="12"/>
      <c r="K75" s="10"/>
      <c r="L75" s="10"/>
      <c r="M75" s="10" t="s">
        <v>525</v>
      </c>
      <c r="N75" s="11"/>
      <c r="O75" s="10"/>
      <c r="P75" s="9"/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</row>
    <row r="76" spans="1:28" x14ac:dyDescent="0.2">
      <c r="A76" s="24" t="s">
        <v>524</v>
      </c>
      <c r="B76" s="24">
        <v>1</v>
      </c>
      <c r="C76" s="24">
        <v>3</v>
      </c>
      <c r="D76" s="24">
        <v>1</v>
      </c>
      <c r="E76" s="24">
        <v>1</v>
      </c>
      <c r="F76" s="24">
        <v>3</v>
      </c>
      <c r="G76" s="24">
        <v>11</v>
      </c>
      <c r="H76" s="24">
        <v>0</v>
      </c>
      <c r="I76" s="13"/>
      <c r="J76" s="12"/>
      <c r="K76" s="10"/>
      <c r="L76" s="10"/>
      <c r="M76" s="10" t="s">
        <v>523</v>
      </c>
      <c r="N76" s="11"/>
      <c r="O76" s="10"/>
      <c r="P76" s="9"/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</row>
    <row r="77" spans="1:28" x14ac:dyDescent="0.2">
      <c r="A77" s="24" t="s">
        <v>522</v>
      </c>
      <c r="B77" s="24">
        <v>1</v>
      </c>
      <c r="C77" s="24">
        <v>3</v>
      </c>
      <c r="D77" s="24">
        <v>1</v>
      </c>
      <c r="E77" s="24">
        <v>1</v>
      </c>
      <c r="F77" s="24">
        <v>3</v>
      </c>
      <c r="G77" s="24">
        <v>12</v>
      </c>
      <c r="H77" s="24">
        <v>0</v>
      </c>
      <c r="I77" s="13"/>
      <c r="J77" s="12"/>
      <c r="K77" s="10"/>
      <c r="L77" s="10"/>
      <c r="M77" s="10" t="s">
        <v>293</v>
      </c>
      <c r="N77" s="11"/>
      <c r="O77" s="10"/>
      <c r="P77" s="9"/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</row>
    <row r="78" spans="1:28" x14ac:dyDescent="0.2">
      <c r="A78" s="24" t="s">
        <v>521</v>
      </c>
      <c r="B78" s="24">
        <v>1</v>
      </c>
      <c r="C78" s="24">
        <v>3</v>
      </c>
      <c r="D78" s="24">
        <v>1</v>
      </c>
      <c r="E78" s="24">
        <v>1</v>
      </c>
      <c r="F78" s="24">
        <v>3</v>
      </c>
      <c r="G78" s="24">
        <v>14</v>
      </c>
      <c r="H78" s="24">
        <v>0</v>
      </c>
      <c r="I78" s="13"/>
      <c r="J78" s="12"/>
      <c r="K78" s="10"/>
      <c r="L78" s="10"/>
      <c r="M78" s="10" t="s">
        <v>520</v>
      </c>
      <c r="N78" s="11"/>
      <c r="O78" s="10"/>
      <c r="P78" s="9"/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</row>
    <row r="79" spans="1:28" x14ac:dyDescent="0.2">
      <c r="A79" s="33" t="s">
        <v>519</v>
      </c>
      <c r="B79" s="33">
        <v>1</v>
      </c>
      <c r="C79" s="33">
        <v>3</v>
      </c>
      <c r="D79" s="33">
        <v>1</v>
      </c>
      <c r="E79" s="33">
        <v>1</v>
      </c>
      <c r="F79" s="33">
        <v>3</v>
      </c>
      <c r="G79" s="33">
        <v>50</v>
      </c>
      <c r="H79" s="33">
        <v>0</v>
      </c>
      <c r="I79" s="19"/>
      <c r="J79" s="26"/>
      <c r="K79" s="17"/>
      <c r="L79" s="17"/>
      <c r="M79" s="17" t="s">
        <v>518</v>
      </c>
      <c r="N79" s="32"/>
      <c r="O79" s="17"/>
      <c r="P79" s="16"/>
      <c r="Q79" s="30">
        <f t="shared" ref="Q79:AB79" si="20">+Q80+Q81</f>
        <v>0</v>
      </c>
      <c r="R79" s="30">
        <f t="shared" si="20"/>
        <v>0</v>
      </c>
      <c r="S79" s="30">
        <f t="shared" si="20"/>
        <v>0</v>
      </c>
      <c r="T79" s="30">
        <f t="shared" si="20"/>
        <v>0</v>
      </c>
      <c r="U79" s="30">
        <f t="shared" si="20"/>
        <v>0</v>
      </c>
      <c r="V79" s="30">
        <f t="shared" si="20"/>
        <v>0</v>
      </c>
      <c r="W79" s="30">
        <f t="shared" si="20"/>
        <v>0</v>
      </c>
      <c r="X79" s="30">
        <f t="shared" si="20"/>
        <v>0</v>
      </c>
      <c r="Y79" s="30">
        <f t="shared" si="20"/>
        <v>0</v>
      </c>
      <c r="Z79" s="30">
        <f t="shared" si="20"/>
        <v>0</v>
      </c>
      <c r="AA79" s="30">
        <f t="shared" si="20"/>
        <v>0</v>
      </c>
      <c r="AB79" s="30">
        <f t="shared" si="20"/>
        <v>0</v>
      </c>
    </row>
    <row r="80" spans="1:28" x14ac:dyDescent="0.2">
      <c r="A80" s="24" t="s">
        <v>517</v>
      </c>
      <c r="B80" s="24">
        <v>1</v>
      </c>
      <c r="C80" s="24">
        <v>3</v>
      </c>
      <c r="D80" s="24">
        <v>1</v>
      </c>
      <c r="E80" s="24">
        <v>1</v>
      </c>
      <c r="F80" s="24">
        <v>3</v>
      </c>
      <c r="G80" s="24">
        <v>50</v>
      </c>
      <c r="H80" s="24">
        <v>1</v>
      </c>
      <c r="I80" s="13"/>
      <c r="J80" s="12"/>
      <c r="K80" s="10"/>
      <c r="L80" s="10"/>
      <c r="M80" s="10"/>
      <c r="N80" s="10" t="s">
        <v>138</v>
      </c>
      <c r="O80" s="11"/>
      <c r="P80" s="9"/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</row>
    <row r="81" spans="1:28" x14ac:dyDescent="0.2">
      <c r="A81" s="24" t="s">
        <v>516</v>
      </c>
      <c r="B81" s="24">
        <v>1</v>
      </c>
      <c r="C81" s="24">
        <v>3</v>
      </c>
      <c r="D81" s="24">
        <v>1</v>
      </c>
      <c r="E81" s="24">
        <v>1</v>
      </c>
      <c r="F81" s="24">
        <v>3</v>
      </c>
      <c r="G81" s="24">
        <v>50</v>
      </c>
      <c r="H81" s="24">
        <v>2</v>
      </c>
      <c r="I81" s="13"/>
      <c r="J81" s="12"/>
      <c r="K81" s="10"/>
      <c r="L81" s="10"/>
      <c r="M81" s="10"/>
      <c r="N81" s="10" t="s">
        <v>136</v>
      </c>
      <c r="O81" s="11"/>
      <c r="P81" s="9"/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</row>
    <row r="82" spans="1:28" x14ac:dyDescent="0.2">
      <c r="A82" s="33" t="s">
        <v>515</v>
      </c>
      <c r="B82" s="33">
        <v>1</v>
      </c>
      <c r="C82" s="33">
        <v>3</v>
      </c>
      <c r="D82" s="33">
        <v>1</v>
      </c>
      <c r="E82" s="33">
        <v>3</v>
      </c>
      <c r="F82" s="33">
        <v>0</v>
      </c>
      <c r="G82" s="33">
        <v>0</v>
      </c>
      <c r="H82" s="33">
        <v>0</v>
      </c>
      <c r="I82" s="19"/>
      <c r="J82" s="26"/>
      <c r="K82" s="17"/>
      <c r="L82" s="17" t="s">
        <v>340</v>
      </c>
      <c r="M82" s="17"/>
      <c r="N82" s="17"/>
      <c r="O82" s="17"/>
      <c r="P82" s="16"/>
      <c r="Q82" s="30">
        <f t="shared" ref="Q82:AB82" si="21">+Q83+Q93</f>
        <v>0</v>
      </c>
      <c r="R82" s="30">
        <f t="shared" si="21"/>
        <v>0</v>
      </c>
      <c r="S82" s="30">
        <f t="shared" si="21"/>
        <v>0</v>
      </c>
      <c r="T82" s="30">
        <f t="shared" si="21"/>
        <v>0</v>
      </c>
      <c r="U82" s="30">
        <f t="shared" si="21"/>
        <v>0</v>
      </c>
      <c r="V82" s="30">
        <f t="shared" si="21"/>
        <v>0</v>
      </c>
      <c r="W82" s="30">
        <f t="shared" si="21"/>
        <v>0</v>
      </c>
      <c r="X82" s="30">
        <f t="shared" si="21"/>
        <v>0</v>
      </c>
      <c r="Y82" s="30">
        <f t="shared" si="21"/>
        <v>0</v>
      </c>
      <c r="Z82" s="30">
        <f t="shared" si="21"/>
        <v>0</v>
      </c>
      <c r="AA82" s="30">
        <f t="shared" si="21"/>
        <v>0</v>
      </c>
      <c r="AB82" s="30">
        <f t="shared" si="21"/>
        <v>0</v>
      </c>
    </row>
    <row r="83" spans="1:28" x14ac:dyDescent="0.2">
      <c r="A83" s="33" t="s">
        <v>514</v>
      </c>
      <c r="B83" s="33">
        <v>1</v>
      </c>
      <c r="C83" s="33">
        <v>3</v>
      </c>
      <c r="D83" s="33">
        <v>1</v>
      </c>
      <c r="E83" s="33">
        <v>3</v>
      </c>
      <c r="F83" s="33">
        <v>1</v>
      </c>
      <c r="G83" s="33">
        <v>0</v>
      </c>
      <c r="H83" s="33">
        <v>0</v>
      </c>
      <c r="I83" s="19"/>
      <c r="J83" s="26"/>
      <c r="K83" s="17"/>
      <c r="L83" s="17"/>
      <c r="M83" s="17" t="s">
        <v>513</v>
      </c>
      <c r="N83" s="17"/>
      <c r="O83" s="17"/>
      <c r="P83" s="16"/>
      <c r="Q83" s="30">
        <f t="shared" ref="Q83:AB83" si="22">+Q84+Q85+Q86+Q87+Q88+Q89</f>
        <v>0</v>
      </c>
      <c r="R83" s="30">
        <f t="shared" si="22"/>
        <v>0</v>
      </c>
      <c r="S83" s="30">
        <f t="shared" si="22"/>
        <v>0</v>
      </c>
      <c r="T83" s="30">
        <f t="shared" si="22"/>
        <v>0</v>
      </c>
      <c r="U83" s="30">
        <f t="shared" si="22"/>
        <v>0</v>
      </c>
      <c r="V83" s="30">
        <f t="shared" si="22"/>
        <v>0</v>
      </c>
      <c r="W83" s="30">
        <f t="shared" si="22"/>
        <v>0</v>
      </c>
      <c r="X83" s="30">
        <f t="shared" si="22"/>
        <v>0</v>
      </c>
      <c r="Y83" s="30">
        <f t="shared" si="22"/>
        <v>0</v>
      </c>
      <c r="Z83" s="30">
        <f t="shared" si="22"/>
        <v>0</v>
      </c>
      <c r="AA83" s="30">
        <f t="shared" si="22"/>
        <v>0</v>
      </c>
      <c r="AB83" s="30">
        <f t="shared" si="22"/>
        <v>0</v>
      </c>
    </row>
    <row r="84" spans="1:28" x14ac:dyDescent="0.2">
      <c r="A84" s="24" t="s">
        <v>512</v>
      </c>
      <c r="B84" s="24">
        <v>1</v>
      </c>
      <c r="C84" s="24">
        <v>3</v>
      </c>
      <c r="D84" s="24">
        <v>1</v>
      </c>
      <c r="E84" s="24">
        <v>3</v>
      </c>
      <c r="F84" s="24">
        <v>1</v>
      </c>
      <c r="G84" s="24">
        <v>1</v>
      </c>
      <c r="H84" s="24">
        <v>0</v>
      </c>
      <c r="I84" s="13"/>
      <c r="J84" s="12"/>
      <c r="K84" s="10"/>
      <c r="L84" s="10"/>
      <c r="M84" s="10"/>
      <c r="N84" s="10" t="s">
        <v>321</v>
      </c>
      <c r="O84" s="10"/>
      <c r="P84" s="9"/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</row>
    <row r="85" spans="1:28" x14ac:dyDescent="0.2">
      <c r="A85" s="24" t="s">
        <v>511</v>
      </c>
      <c r="B85" s="24">
        <v>1</v>
      </c>
      <c r="C85" s="24">
        <v>3</v>
      </c>
      <c r="D85" s="24">
        <v>1</v>
      </c>
      <c r="E85" s="24">
        <v>3</v>
      </c>
      <c r="F85" s="24">
        <v>1</v>
      </c>
      <c r="G85" s="24">
        <v>2</v>
      </c>
      <c r="H85" s="24">
        <v>0</v>
      </c>
      <c r="I85" s="13"/>
      <c r="J85" s="12"/>
      <c r="K85" s="10"/>
      <c r="L85" s="10"/>
      <c r="M85" s="10"/>
      <c r="N85" s="10" t="s">
        <v>335</v>
      </c>
      <c r="O85" s="10"/>
      <c r="P85" s="9"/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</row>
    <row r="86" spans="1:28" x14ac:dyDescent="0.2">
      <c r="A86" s="24" t="s">
        <v>510</v>
      </c>
      <c r="B86" s="24">
        <v>1</v>
      </c>
      <c r="C86" s="24">
        <v>3</v>
      </c>
      <c r="D86" s="24">
        <v>1</v>
      </c>
      <c r="E86" s="24">
        <v>3</v>
      </c>
      <c r="F86" s="24">
        <v>1</v>
      </c>
      <c r="G86" s="24">
        <v>3</v>
      </c>
      <c r="H86" s="24">
        <v>0</v>
      </c>
      <c r="I86" s="13"/>
      <c r="J86" s="12"/>
      <c r="K86" s="10"/>
      <c r="L86" s="10"/>
      <c r="M86" s="10"/>
      <c r="N86" s="10" t="s">
        <v>317</v>
      </c>
      <c r="O86" s="10"/>
      <c r="P86" s="9"/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</row>
    <row r="87" spans="1:28" x14ac:dyDescent="0.2">
      <c r="A87" s="24" t="s">
        <v>509</v>
      </c>
      <c r="B87" s="24">
        <v>1</v>
      </c>
      <c r="C87" s="24">
        <v>3</v>
      </c>
      <c r="D87" s="24">
        <v>1</v>
      </c>
      <c r="E87" s="24">
        <v>3</v>
      </c>
      <c r="F87" s="24">
        <v>1</v>
      </c>
      <c r="G87" s="24">
        <v>4</v>
      </c>
      <c r="H87" s="24">
        <v>0</v>
      </c>
      <c r="I87" s="13"/>
      <c r="J87" s="12"/>
      <c r="K87" s="10"/>
      <c r="L87" s="10"/>
      <c r="M87" s="10"/>
      <c r="N87" s="10" t="s">
        <v>332</v>
      </c>
      <c r="O87" s="10"/>
      <c r="P87" s="9"/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</row>
    <row r="88" spans="1:28" x14ac:dyDescent="0.2">
      <c r="A88" s="24" t="s">
        <v>508</v>
      </c>
      <c r="B88" s="24">
        <v>1</v>
      </c>
      <c r="C88" s="24">
        <v>3</v>
      </c>
      <c r="D88" s="24">
        <v>1</v>
      </c>
      <c r="E88" s="24">
        <v>3</v>
      </c>
      <c r="F88" s="24">
        <v>1</v>
      </c>
      <c r="G88" s="24">
        <v>5</v>
      </c>
      <c r="H88" s="24">
        <v>0</v>
      </c>
      <c r="I88" s="13"/>
      <c r="J88" s="12"/>
      <c r="K88" s="10"/>
      <c r="L88" s="10"/>
      <c r="M88" s="10"/>
      <c r="N88" s="10" t="s">
        <v>313</v>
      </c>
      <c r="O88" s="10"/>
      <c r="P88" s="9"/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</row>
    <row r="89" spans="1:28" x14ac:dyDescent="0.2">
      <c r="A89" s="33" t="s">
        <v>507</v>
      </c>
      <c r="B89" s="33">
        <v>1</v>
      </c>
      <c r="C89" s="33">
        <v>3</v>
      </c>
      <c r="D89" s="33">
        <v>1</v>
      </c>
      <c r="E89" s="33">
        <v>3</v>
      </c>
      <c r="F89" s="33">
        <v>1</v>
      </c>
      <c r="G89" s="33">
        <v>6</v>
      </c>
      <c r="H89" s="33">
        <v>0</v>
      </c>
      <c r="I89" s="19"/>
      <c r="J89" s="26"/>
      <c r="K89" s="17"/>
      <c r="L89" s="17"/>
      <c r="M89" s="17"/>
      <c r="N89" s="17" t="s">
        <v>325</v>
      </c>
      <c r="O89" s="17"/>
      <c r="P89" s="16"/>
      <c r="Q89" s="30">
        <f t="shared" ref="Q89:AB89" si="23">+Q90+Q91+Q92</f>
        <v>0</v>
      </c>
      <c r="R89" s="30">
        <f t="shared" si="23"/>
        <v>0</v>
      </c>
      <c r="S89" s="30">
        <f t="shared" si="23"/>
        <v>0</v>
      </c>
      <c r="T89" s="30">
        <f t="shared" si="23"/>
        <v>0</v>
      </c>
      <c r="U89" s="30">
        <f t="shared" si="23"/>
        <v>0</v>
      </c>
      <c r="V89" s="30">
        <f t="shared" si="23"/>
        <v>0</v>
      </c>
      <c r="W89" s="30">
        <f t="shared" si="23"/>
        <v>0</v>
      </c>
      <c r="X89" s="30">
        <f t="shared" si="23"/>
        <v>0</v>
      </c>
      <c r="Y89" s="30">
        <f t="shared" si="23"/>
        <v>0</v>
      </c>
      <c r="Z89" s="30">
        <f t="shared" si="23"/>
        <v>0</v>
      </c>
      <c r="AA89" s="30">
        <f t="shared" si="23"/>
        <v>0</v>
      </c>
      <c r="AB89" s="30">
        <f t="shared" si="23"/>
        <v>0</v>
      </c>
    </row>
    <row r="90" spans="1:28" x14ac:dyDescent="0.2">
      <c r="A90" s="24" t="s">
        <v>506</v>
      </c>
      <c r="B90" s="24">
        <v>1</v>
      </c>
      <c r="C90" s="24">
        <v>3</v>
      </c>
      <c r="D90" s="24">
        <v>1</v>
      </c>
      <c r="E90" s="24">
        <v>3</v>
      </c>
      <c r="F90" s="24">
        <v>1</v>
      </c>
      <c r="G90" s="24">
        <v>6</v>
      </c>
      <c r="H90" s="24">
        <v>1</v>
      </c>
      <c r="I90" s="13"/>
      <c r="J90" s="12"/>
      <c r="K90" s="10"/>
      <c r="L90" s="10"/>
      <c r="M90" s="10"/>
      <c r="N90" s="10"/>
      <c r="O90" s="10" t="s">
        <v>310</v>
      </c>
      <c r="P90" s="9"/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</row>
    <row r="91" spans="1:28" x14ac:dyDescent="0.2">
      <c r="A91" s="24" t="s">
        <v>505</v>
      </c>
      <c r="B91" s="24">
        <v>1</v>
      </c>
      <c r="C91" s="24">
        <v>3</v>
      </c>
      <c r="D91" s="24">
        <v>1</v>
      </c>
      <c r="E91" s="24">
        <v>3</v>
      </c>
      <c r="F91" s="24">
        <v>1</v>
      </c>
      <c r="G91" s="24">
        <v>6</v>
      </c>
      <c r="H91" s="24">
        <v>2</v>
      </c>
      <c r="I91" s="13"/>
      <c r="J91" s="12"/>
      <c r="K91" s="10"/>
      <c r="L91" s="10"/>
      <c r="M91" s="10"/>
      <c r="N91" s="10"/>
      <c r="O91" s="10" t="s">
        <v>308</v>
      </c>
      <c r="P91" s="9"/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</row>
    <row r="92" spans="1:28" x14ac:dyDescent="0.2">
      <c r="A92" s="24" t="s">
        <v>504</v>
      </c>
      <c r="B92" s="24">
        <v>1</v>
      </c>
      <c r="C92" s="24">
        <v>3</v>
      </c>
      <c r="D92" s="24">
        <v>1</v>
      </c>
      <c r="E92" s="24">
        <v>3</v>
      </c>
      <c r="F92" s="24">
        <v>1</v>
      </c>
      <c r="G92" s="24">
        <v>6</v>
      </c>
      <c r="H92" s="24">
        <v>50</v>
      </c>
      <c r="I92" s="13"/>
      <c r="J92" s="12"/>
      <c r="K92" s="10"/>
      <c r="L92" s="10"/>
      <c r="M92" s="10"/>
      <c r="N92" s="10"/>
      <c r="O92" s="10" t="s">
        <v>503</v>
      </c>
      <c r="P92" s="9"/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</row>
    <row r="93" spans="1:28" x14ac:dyDescent="0.2">
      <c r="A93" s="33" t="s">
        <v>502</v>
      </c>
      <c r="B93" s="33">
        <v>1</v>
      </c>
      <c r="C93" s="33">
        <v>3</v>
      </c>
      <c r="D93" s="33">
        <v>1</v>
      </c>
      <c r="E93" s="33">
        <v>3</v>
      </c>
      <c r="F93" s="33">
        <v>2</v>
      </c>
      <c r="G93" s="33">
        <v>0</v>
      </c>
      <c r="H93" s="33">
        <v>0</v>
      </c>
      <c r="I93" s="19"/>
      <c r="J93" s="26"/>
      <c r="K93" s="17"/>
      <c r="L93" s="17"/>
      <c r="M93" s="17" t="s">
        <v>323</v>
      </c>
      <c r="N93" s="17"/>
      <c r="O93" s="17"/>
      <c r="P93" s="16"/>
      <c r="Q93" s="30">
        <f t="shared" ref="Q93:AB93" si="24">Q94+Q95+Q96+Q97</f>
        <v>0</v>
      </c>
      <c r="R93" s="30">
        <f t="shared" si="24"/>
        <v>0</v>
      </c>
      <c r="S93" s="30">
        <f t="shared" si="24"/>
        <v>0</v>
      </c>
      <c r="T93" s="30">
        <f t="shared" si="24"/>
        <v>0</v>
      </c>
      <c r="U93" s="30">
        <f t="shared" si="24"/>
        <v>0</v>
      </c>
      <c r="V93" s="30">
        <f t="shared" si="24"/>
        <v>0</v>
      </c>
      <c r="W93" s="30">
        <f t="shared" si="24"/>
        <v>0</v>
      </c>
      <c r="X93" s="30">
        <f t="shared" si="24"/>
        <v>0</v>
      </c>
      <c r="Y93" s="30">
        <f t="shared" si="24"/>
        <v>0</v>
      </c>
      <c r="Z93" s="30">
        <f t="shared" si="24"/>
        <v>0</v>
      </c>
      <c r="AA93" s="30">
        <f t="shared" si="24"/>
        <v>0</v>
      </c>
      <c r="AB93" s="30">
        <f t="shared" si="24"/>
        <v>0</v>
      </c>
    </row>
    <row r="94" spans="1:28" x14ac:dyDescent="0.2">
      <c r="A94" s="24" t="s">
        <v>501</v>
      </c>
      <c r="B94" s="24">
        <v>1</v>
      </c>
      <c r="C94" s="24">
        <v>3</v>
      </c>
      <c r="D94" s="24">
        <v>1</v>
      </c>
      <c r="E94" s="24">
        <v>3</v>
      </c>
      <c r="F94" s="24">
        <v>2</v>
      </c>
      <c r="G94" s="24">
        <v>1</v>
      </c>
      <c r="H94" s="24">
        <v>0</v>
      </c>
      <c r="I94" s="13"/>
      <c r="J94" s="12"/>
      <c r="K94" s="10"/>
      <c r="L94" s="10"/>
      <c r="M94" s="10"/>
      <c r="N94" s="10" t="s">
        <v>319</v>
      </c>
      <c r="O94" s="10"/>
      <c r="P94" s="9"/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</row>
    <row r="95" spans="1:28" x14ac:dyDescent="0.2">
      <c r="A95" s="24" t="s">
        <v>500</v>
      </c>
      <c r="B95" s="24">
        <v>1</v>
      </c>
      <c r="C95" s="24">
        <v>3</v>
      </c>
      <c r="D95" s="24">
        <v>1</v>
      </c>
      <c r="E95" s="24">
        <v>3</v>
      </c>
      <c r="F95" s="24">
        <v>2</v>
      </c>
      <c r="G95" s="24">
        <v>2</v>
      </c>
      <c r="H95" s="24">
        <v>0</v>
      </c>
      <c r="I95" s="13"/>
      <c r="J95" s="12"/>
      <c r="K95" s="10"/>
      <c r="L95" s="10"/>
      <c r="M95" s="10"/>
      <c r="N95" s="10" t="s">
        <v>317</v>
      </c>
      <c r="O95" s="10"/>
      <c r="P95" s="9"/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</row>
    <row r="96" spans="1:28" x14ac:dyDescent="0.2">
      <c r="A96" s="24" t="s">
        <v>499</v>
      </c>
      <c r="B96" s="24">
        <v>1</v>
      </c>
      <c r="C96" s="24">
        <v>3</v>
      </c>
      <c r="D96" s="24">
        <v>1</v>
      </c>
      <c r="E96" s="24">
        <v>3</v>
      </c>
      <c r="F96" s="24">
        <v>2</v>
      </c>
      <c r="G96" s="24">
        <v>3</v>
      </c>
      <c r="H96" s="24">
        <v>0</v>
      </c>
      <c r="I96" s="13"/>
      <c r="J96" s="12"/>
      <c r="K96" s="10"/>
      <c r="L96" s="10"/>
      <c r="M96" s="10"/>
      <c r="N96" s="10" t="s">
        <v>315</v>
      </c>
      <c r="O96" s="10"/>
      <c r="P96" s="9"/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</row>
    <row r="97" spans="1:28" x14ac:dyDescent="0.2">
      <c r="A97" s="33" t="s">
        <v>498</v>
      </c>
      <c r="B97" s="33">
        <v>1</v>
      </c>
      <c r="C97" s="33">
        <v>3</v>
      </c>
      <c r="D97" s="33">
        <v>1</v>
      </c>
      <c r="E97" s="33">
        <v>3</v>
      </c>
      <c r="F97" s="33">
        <v>2</v>
      </c>
      <c r="G97" s="33">
        <v>4</v>
      </c>
      <c r="H97" s="33">
        <v>0</v>
      </c>
      <c r="I97" s="19"/>
      <c r="J97" s="26"/>
      <c r="K97" s="17"/>
      <c r="L97" s="17"/>
      <c r="M97" s="17"/>
      <c r="N97" s="17" t="s">
        <v>306</v>
      </c>
      <c r="O97" s="17"/>
      <c r="P97" s="16"/>
      <c r="Q97" s="88">
        <f t="shared" ref="Q97:AB97" si="25">+Q98+Q99+Q100</f>
        <v>0</v>
      </c>
      <c r="R97" s="88">
        <f t="shared" si="25"/>
        <v>0</v>
      </c>
      <c r="S97" s="88">
        <f t="shared" si="25"/>
        <v>0</v>
      </c>
      <c r="T97" s="88">
        <f t="shared" si="25"/>
        <v>0</v>
      </c>
      <c r="U97" s="88">
        <f t="shared" si="25"/>
        <v>0</v>
      </c>
      <c r="V97" s="88">
        <f t="shared" si="25"/>
        <v>0</v>
      </c>
      <c r="W97" s="88">
        <f t="shared" si="25"/>
        <v>0</v>
      </c>
      <c r="X97" s="88">
        <f t="shared" si="25"/>
        <v>0</v>
      </c>
      <c r="Y97" s="88">
        <f t="shared" si="25"/>
        <v>0</v>
      </c>
      <c r="Z97" s="88">
        <f t="shared" si="25"/>
        <v>0</v>
      </c>
      <c r="AA97" s="88">
        <f t="shared" si="25"/>
        <v>0</v>
      </c>
      <c r="AB97" s="88">
        <f t="shared" si="25"/>
        <v>0</v>
      </c>
    </row>
    <row r="98" spans="1:28" x14ac:dyDescent="0.2">
      <c r="A98" s="24" t="s">
        <v>497</v>
      </c>
      <c r="B98" s="24">
        <v>1</v>
      </c>
      <c r="C98" s="24">
        <v>3</v>
      </c>
      <c r="D98" s="24">
        <v>1</v>
      </c>
      <c r="E98" s="24">
        <v>3</v>
      </c>
      <c r="F98" s="24">
        <v>2</v>
      </c>
      <c r="G98" s="24">
        <v>4</v>
      </c>
      <c r="H98" s="24">
        <v>1</v>
      </c>
      <c r="I98" s="13"/>
      <c r="J98" s="12"/>
      <c r="K98" s="10"/>
      <c r="L98" s="10"/>
      <c r="M98" s="10"/>
      <c r="N98" s="10"/>
      <c r="O98" s="10" t="s">
        <v>310</v>
      </c>
      <c r="P98" s="9"/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</row>
    <row r="99" spans="1:28" x14ac:dyDescent="0.2">
      <c r="A99" s="24" t="s">
        <v>496</v>
      </c>
      <c r="B99" s="24">
        <v>1</v>
      </c>
      <c r="C99" s="24">
        <v>3</v>
      </c>
      <c r="D99" s="24">
        <v>1</v>
      </c>
      <c r="E99" s="24">
        <v>3</v>
      </c>
      <c r="F99" s="24">
        <v>2</v>
      </c>
      <c r="G99" s="24">
        <v>4</v>
      </c>
      <c r="H99" s="24">
        <v>2</v>
      </c>
      <c r="I99" s="13"/>
      <c r="J99" s="12"/>
      <c r="K99" s="10"/>
      <c r="L99" s="10"/>
      <c r="M99" s="10"/>
      <c r="N99" s="10"/>
      <c r="O99" s="10" t="s">
        <v>308</v>
      </c>
      <c r="P99" s="9"/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</row>
    <row r="100" spans="1:28" x14ac:dyDescent="0.2">
      <c r="A100" s="24" t="s">
        <v>495</v>
      </c>
      <c r="B100" s="24">
        <v>1</v>
      </c>
      <c r="C100" s="24">
        <v>3</v>
      </c>
      <c r="D100" s="24">
        <v>1</v>
      </c>
      <c r="E100" s="24">
        <v>3</v>
      </c>
      <c r="F100" s="24">
        <v>2</v>
      </c>
      <c r="G100" s="24">
        <v>4</v>
      </c>
      <c r="H100" s="24">
        <v>50</v>
      </c>
      <c r="I100" s="13"/>
      <c r="J100" s="12"/>
      <c r="K100" s="10"/>
      <c r="L100" s="10"/>
      <c r="M100" s="10"/>
      <c r="N100" s="10"/>
      <c r="O100" s="10" t="s">
        <v>306</v>
      </c>
      <c r="P100" s="9"/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</row>
    <row r="101" spans="1:28" x14ac:dyDescent="0.2">
      <c r="A101" s="33" t="s">
        <v>494</v>
      </c>
      <c r="B101" s="33">
        <v>1</v>
      </c>
      <c r="C101" s="33">
        <v>3</v>
      </c>
      <c r="D101" s="33">
        <v>50</v>
      </c>
      <c r="E101" s="33">
        <v>3</v>
      </c>
      <c r="F101" s="33">
        <v>0</v>
      </c>
      <c r="G101" s="33">
        <v>0</v>
      </c>
      <c r="H101" s="33">
        <v>0</v>
      </c>
      <c r="I101" s="19"/>
      <c r="J101" s="26"/>
      <c r="K101" s="17"/>
      <c r="L101" s="17" t="s">
        <v>493</v>
      </c>
      <c r="M101" s="17"/>
      <c r="N101" s="17"/>
      <c r="O101" s="17"/>
      <c r="P101" s="16"/>
      <c r="Q101" s="30">
        <f t="shared" ref="Q101:AB101" si="26">+Q102+Q103</f>
        <v>0</v>
      </c>
      <c r="R101" s="30">
        <f t="shared" si="26"/>
        <v>0</v>
      </c>
      <c r="S101" s="30">
        <f t="shared" si="26"/>
        <v>0</v>
      </c>
      <c r="T101" s="30">
        <f t="shared" si="26"/>
        <v>0</v>
      </c>
      <c r="U101" s="30">
        <f t="shared" si="26"/>
        <v>0</v>
      </c>
      <c r="V101" s="30">
        <f t="shared" si="26"/>
        <v>0</v>
      </c>
      <c r="W101" s="30">
        <f t="shared" si="26"/>
        <v>0</v>
      </c>
      <c r="X101" s="30">
        <f t="shared" si="26"/>
        <v>0</v>
      </c>
      <c r="Y101" s="30">
        <f t="shared" si="26"/>
        <v>0</v>
      </c>
      <c r="Z101" s="30">
        <f t="shared" si="26"/>
        <v>0</v>
      </c>
      <c r="AA101" s="30">
        <f t="shared" si="26"/>
        <v>0</v>
      </c>
      <c r="AB101" s="30">
        <f t="shared" si="26"/>
        <v>0</v>
      </c>
    </row>
    <row r="102" spans="1:28" x14ac:dyDescent="0.2">
      <c r="A102" s="24" t="s">
        <v>492</v>
      </c>
      <c r="B102" s="24">
        <v>1</v>
      </c>
      <c r="C102" s="24">
        <v>3</v>
      </c>
      <c r="D102" s="24">
        <v>50</v>
      </c>
      <c r="E102" s="24">
        <v>3</v>
      </c>
      <c r="F102" s="24">
        <v>1</v>
      </c>
      <c r="G102" s="24">
        <v>0</v>
      </c>
      <c r="H102" s="24">
        <v>0</v>
      </c>
      <c r="I102" s="13"/>
      <c r="J102" s="12"/>
      <c r="K102" s="10"/>
      <c r="L102" s="10"/>
      <c r="M102" s="10" t="s">
        <v>138</v>
      </c>
      <c r="N102" s="10"/>
      <c r="O102" s="10"/>
      <c r="P102" s="9"/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</row>
    <row r="103" spans="1:28" x14ac:dyDescent="0.2">
      <c r="A103" s="24" t="s">
        <v>491</v>
      </c>
      <c r="B103" s="24">
        <v>1</v>
      </c>
      <c r="C103" s="24">
        <v>3</v>
      </c>
      <c r="D103" s="24">
        <v>50</v>
      </c>
      <c r="E103" s="24">
        <v>3</v>
      </c>
      <c r="F103" s="24">
        <v>2</v>
      </c>
      <c r="G103" s="24">
        <v>0</v>
      </c>
      <c r="H103" s="24">
        <v>0</v>
      </c>
      <c r="I103" s="13"/>
      <c r="J103" s="12"/>
      <c r="K103" s="10"/>
      <c r="L103" s="10"/>
      <c r="M103" s="10" t="s">
        <v>136</v>
      </c>
      <c r="N103" s="10"/>
      <c r="O103" s="10"/>
      <c r="P103" s="9"/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</row>
    <row r="104" spans="1:28" x14ac:dyDescent="0.2">
      <c r="A104" s="33" t="s">
        <v>490</v>
      </c>
      <c r="B104" s="33">
        <v>1</v>
      </c>
      <c r="C104" s="33">
        <v>3</v>
      </c>
      <c r="D104" s="33">
        <v>1</v>
      </c>
      <c r="E104" s="33">
        <v>4</v>
      </c>
      <c r="F104" s="33">
        <v>0</v>
      </c>
      <c r="G104" s="33">
        <v>0</v>
      </c>
      <c r="H104" s="33">
        <v>0</v>
      </c>
      <c r="I104" s="39"/>
      <c r="J104" s="36"/>
      <c r="K104" s="36"/>
      <c r="L104" s="32" t="s">
        <v>304</v>
      </c>
      <c r="M104" s="17"/>
      <c r="N104" s="36"/>
      <c r="O104" s="36"/>
      <c r="P104" s="35"/>
      <c r="Q104" s="92">
        <f t="shared" ref="Q104:AB104" si="27">+Q105+Q106</f>
        <v>0</v>
      </c>
      <c r="R104" s="92">
        <f t="shared" si="27"/>
        <v>0</v>
      </c>
      <c r="S104" s="92">
        <f t="shared" si="27"/>
        <v>0</v>
      </c>
      <c r="T104" s="92">
        <f t="shared" si="27"/>
        <v>0</v>
      </c>
      <c r="U104" s="92">
        <f t="shared" si="27"/>
        <v>0</v>
      </c>
      <c r="V104" s="92">
        <f t="shared" si="27"/>
        <v>0</v>
      </c>
      <c r="W104" s="92">
        <f t="shared" si="27"/>
        <v>0</v>
      </c>
      <c r="X104" s="92">
        <f t="shared" si="27"/>
        <v>0</v>
      </c>
      <c r="Y104" s="92">
        <f t="shared" si="27"/>
        <v>0</v>
      </c>
      <c r="Z104" s="92">
        <f t="shared" si="27"/>
        <v>0</v>
      </c>
      <c r="AA104" s="92">
        <f t="shared" si="27"/>
        <v>0</v>
      </c>
      <c r="AB104" s="92">
        <f t="shared" si="27"/>
        <v>0</v>
      </c>
    </row>
    <row r="105" spans="1:28" x14ac:dyDescent="0.2">
      <c r="A105" s="24" t="s">
        <v>489</v>
      </c>
      <c r="B105" s="24">
        <v>1</v>
      </c>
      <c r="C105" s="24">
        <v>3</v>
      </c>
      <c r="D105" s="24">
        <v>1</v>
      </c>
      <c r="E105" s="24">
        <v>4</v>
      </c>
      <c r="F105" s="24">
        <v>1</v>
      </c>
      <c r="G105" s="24">
        <v>1</v>
      </c>
      <c r="H105" s="24">
        <v>0</v>
      </c>
      <c r="I105" s="50"/>
      <c r="J105" s="91"/>
      <c r="K105" s="91"/>
      <c r="L105" s="10"/>
      <c r="M105" s="10" t="s">
        <v>138</v>
      </c>
      <c r="N105" s="91"/>
      <c r="O105" s="91"/>
      <c r="P105" s="90"/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</row>
    <row r="106" spans="1:28" x14ac:dyDescent="0.2">
      <c r="A106" s="24" t="s">
        <v>488</v>
      </c>
      <c r="B106" s="24">
        <v>1</v>
      </c>
      <c r="C106" s="24">
        <v>3</v>
      </c>
      <c r="D106" s="24">
        <v>1</v>
      </c>
      <c r="E106" s="24">
        <v>4</v>
      </c>
      <c r="F106" s="24">
        <v>1</v>
      </c>
      <c r="G106" s="24">
        <v>2</v>
      </c>
      <c r="H106" s="24">
        <v>0</v>
      </c>
      <c r="I106" s="50"/>
      <c r="J106" s="91"/>
      <c r="K106" s="91"/>
      <c r="L106" s="10"/>
      <c r="M106" s="10" t="s">
        <v>136</v>
      </c>
      <c r="N106" s="91"/>
      <c r="O106" s="91"/>
      <c r="P106" s="90"/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</row>
    <row r="107" spans="1:28" x14ac:dyDescent="0.2">
      <c r="A107" s="20" t="s">
        <v>487</v>
      </c>
      <c r="B107" s="20">
        <v>1</v>
      </c>
      <c r="C107" s="20">
        <v>4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19"/>
      <c r="J107" s="26" t="s">
        <v>486</v>
      </c>
      <c r="K107" s="17"/>
      <c r="L107" s="17"/>
      <c r="M107" s="17"/>
      <c r="N107" s="17"/>
      <c r="O107" s="17"/>
      <c r="P107" s="31"/>
      <c r="Q107" s="25">
        <f t="shared" ref="Q107:AB107" si="28">+Q108</f>
        <v>0</v>
      </c>
      <c r="R107" s="25">
        <f t="shared" si="28"/>
        <v>0</v>
      </c>
      <c r="S107" s="25">
        <f t="shared" si="28"/>
        <v>0</v>
      </c>
      <c r="T107" s="25">
        <f t="shared" si="28"/>
        <v>0</v>
      </c>
      <c r="U107" s="25">
        <f t="shared" si="28"/>
        <v>0</v>
      </c>
      <c r="V107" s="25">
        <f t="shared" si="28"/>
        <v>0</v>
      </c>
      <c r="W107" s="25">
        <f t="shared" si="28"/>
        <v>0</v>
      </c>
      <c r="X107" s="25">
        <f t="shared" si="28"/>
        <v>0</v>
      </c>
      <c r="Y107" s="25">
        <f t="shared" si="28"/>
        <v>0</v>
      </c>
      <c r="Z107" s="25">
        <f t="shared" si="28"/>
        <v>0</v>
      </c>
      <c r="AA107" s="25">
        <f t="shared" si="28"/>
        <v>0</v>
      </c>
      <c r="AB107" s="25">
        <f t="shared" si="28"/>
        <v>0</v>
      </c>
    </row>
    <row r="108" spans="1:28" x14ac:dyDescent="0.2">
      <c r="A108" s="33" t="s">
        <v>485</v>
      </c>
      <c r="B108" s="33">
        <v>1</v>
      </c>
      <c r="C108" s="33">
        <v>4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70"/>
      <c r="J108" s="75"/>
      <c r="K108" s="17" t="s">
        <v>484</v>
      </c>
      <c r="L108" s="89"/>
      <c r="M108" s="89"/>
      <c r="N108" s="89"/>
      <c r="O108" s="89"/>
      <c r="P108" s="74"/>
      <c r="Q108" s="88">
        <f t="shared" ref="Q108:AB108" si="29">+Q109+Q110</f>
        <v>0</v>
      </c>
      <c r="R108" s="88">
        <f t="shared" si="29"/>
        <v>0</v>
      </c>
      <c r="S108" s="88">
        <f t="shared" si="29"/>
        <v>0</v>
      </c>
      <c r="T108" s="88">
        <f t="shared" si="29"/>
        <v>0</v>
      </c>
      <c r="U108" s="88">
        <f t="shared" si="29"/>
        <v>0</v>
      </c>
      <c r="V108" s="88">
        <f t="shared" si="29"/>
        <v>0</v>
      </c>
      <c r="W108" s="88">
        <f t="shared" si="29"/>
        <v>0</v>
      </c>
      <c r="X108" s="88">
        <f t="shared" si="29"/>
        <v>0</v>
      </c>
      <c r="Y108" s="88">
        <f t="shared" si="29"/>
        <v>0</v>
      </c>
      <c r="Z108" s="88">
        <f t="shared" si="29"/>
        <v>0</v>
      </c>
      <c r="AA108" s="88">
        <f t="shared" si="29"/>
        <v>0</v>
      </c>
      <c r="AB108" s="88">
        <f t="shared" si="29"/>
        <v>0</v>
      </c>
    </row>
    <row r="109" spans="1:28" x14ac:dyDescent="0.2">
      <c r="A109" s="24" t="s">
        <v>483</v>
      </c>
      <c r="B109" s="24">
        <v>1</v>
      </c>
      <c r="C109" s="24">
        <v>4</v>
      </c>
      <c r="D109" s="24">
        <v>1</v>
      </c>
      <c r="E109" s="24">
        <v>1</v>
      </c>
      <c r="F109" s="24">
        <v>0</v>
      </c>
      <c r="G109" s="24">
        <v>0</v>
      </c>
      <c r="H109" s="24">
        <v>0</v>
      </c>
      <c r="I109" s="13"/>
      <c r="J109" s="12"/>
      <c r="K109" s="10"/>
      <c r="L109" s="10" t="s">
        <v>482</v>
      </c>
      <c r="M109" s="10"/>
      <c r="N109" s="87"/>
      <c r="O109" s="87"/>
      <c r="P109" s="72"/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</row>
    <row r="110" spans="1:28" x14ac:dyDescent="0.2">
      <c r="A110" s="24" t="s">
        <v>481</v>
      </c>
      <c r="B110" s="24">
        <v>1</v>
      </c>
      <c r="C110" s="24">
        <v>4</v>
      </c>
      <c r="D110" s="24">
        <v>1</v>
      </c>
      <c r="E110" s="24">
        <v>2</v>
      </c>
      <c r="F110" s="24">
        <v>0</v>
      </c>
      <c r="G110" s="24">
        <v>0</v>
      </c>
      <c r="H110" s="24">
        <v>0</v>
      </c>
      <c r="I110" s="13"/>
      <c r="J110" s="12"/>
      <c r="K110" s="10"/>
      <c r="L110" s="10" t="s">
        <v>480</v>
      </c>
      <c r="M110" s="10"/>
      <c r="N110" s="67"/>
      <c r="O110" s="87"/>
      <c r="P110" s="72"/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</row>
    <row r="111" spans="1:28" x14ac:dyDescent="0.2">
      <c r="A111" s="20" t="s">
        <v>479</v>
      </c>
      <c r="B111" s="20">
        <v>2</v>
      </c>
      <c r="C111" s="20">
        <v>0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19" t="s">
        <v>478</v>
      </c>
      <c r="J111" s="26"/>
      <c r="K111" s="17"/>
      <c r="L111" s="17"/>
      <c r="M111" s="17"/>
      <c r="N111" s="17"/>
      <c r="O111" s="17"/>
      <c r="P111" s="31"/>
      <c r="Q111" s="15">
        <f t="shared" ref="Q111:AB111" si="30">Q112+Q160+Q167+Q181+Q203+Q206+Q216+Q219+Q222+Q225+Q228+Q256+Q267+Q293</f>
        <v>196716701</v>
      </c>
      <c r="R111" s="15">
        <f t="shared" si="30"/>
        <v>209910153</v>
      </c>
      <c r="S111" s="15">
        <f t="shared" si="30"/>
        <v>276830915</v>
      </c>
      <c r="T111" s="15">
        <f t="shared" si="30"/>
        <v>236136894.19999999</v>
      </c>
      <c r="U111" s="15">
        <f t="shared" si="30"/>
        <v>198629491.72999999</v>
      </c>
      <c r="V111" s="15">
        <f t="shared" si="30"/>
        <v>183453317.59999999</v>
      </c>
      <c r="W111" s="15">
        <f t="shared" si="30"/>
        <v>329988284.97000003</v>
      </c>
      <c r="X111" s="15">
        <f t="shared" si="30"/>
        <v>303109432.85999924</v>
      </c>
      <c r="Y111" s="15">
        <f t="shared" si="30"/>
        <v>326123912.68999988</v>
      </c>
      <c r="Z111" s="15">
        <f t="shared" si="30"/>
        <v>255293004.12999958</v>
      </c>
      <c r="AA111" s="15">
        <f t="shared" si="30"/>
        <v>363670909</v>
      </c>
      <c r="AB111" s="15">
        <f t="shared" si="30"/>
        <v>716550612.43999958</v>
      </c>
    </row>
    <row r="112" spans="1:28" x14ac:dyDescent="0.2">
      <c r="A112" s="20" t="s">
        <v>477</v>
      </c>
      <c r="B112" s="20">
        <v>2</v>
      </c>
      <c r="C112" s="20">
        <v>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19"/>
      <c r="J112" s="26" t="s">
        <v>476</v>
      </c>
      <c r="K112" s="17"/>
      <c r="L112" s="17"/>
      <c r="M112" s="17"/>
      <c r="N112" s="17"/>
      <c r="O112" s="17"/>
      <c r="P112" s="31"/>
      <c r="Q112" s="15">
        <f t="shared" ref="Q112:AB112" si="31">+Q113+Q122+Q133+Q143+Q154+Q159</f>
        <v>168942420</v>
      </c>
      <c r="R112" s="15">
        <f t="shared" si="31"/>
        <v>155376639</v>
      </c>
      <c r="S112" s="15">
        <f t="shared" si="31"/>
        <v>196359220</v>
      </c>
      <c r="T112" s="15">
        <f t="shared" si="31"/>
        <v>133888862.62</v>
      </c>
      <c r="U112" s="15">
        <f t="shared" si="31"/>
        <v>139512651</v>
      </c>
      <c r="V112" s="15">
        <f t="shared" si="31"/>
        <v>123660142.5</v>
      </c>
      <c r="W112" s="15">
        <f t="shared" si="31"/>
        <v>223214207</v>
      </c>
      <c r="X112" s="15">
        <f t="shared" si="31"/>
        <v>197424241.23999926</v>
      </c>
      <c r="Y112" s="15">
        <f t="shared" si="31"/>
        <v>217064082.36999989</v>
      </c>
      <c r="Z112" s="15">
        <f t="shared" si="31"/>
        <v>198570628.47999957</v>
      </c>
      <c r="AA112" s="15">
        <f t="shared" si="31"/>
        <v>275979887</v>
      </c>
      <c r="AB112" s="15">
        <f t="shared" si="31"/>
        <v>567697664.03999949</v>
      </c>
    </row>
    <row r="113" spans="1:28" x14ac:dyDescent="0.2">
      <c r="A113" s="33" t="s">
        <v>475</v>
      </c>
      <c r="B113" s="33">
        <v>2</v>
      </c>
      <c r="C113" s="33">
        <v>1</v>
      </c>
      <c r="D113" s="33">
        <v>1</v>
      </c>
      <c r="E113" s="33">
        <v>0</v>
      </c>
      <c r="F113" s="33">
        <v>0</v>
      </c>
      <c r="G113" s="33">
        <v>0</v>
      </c>
      <c r="H113" s="33">
        <v>0</v>
      </c>
      <c r="I113" s="19"/>
      <c r="J113" s="26"/>
      <c r="K113" s="17" t="s">
        <v>68</v>
      </c>
      <c r="L113" s="17"/>
      <c r="M113" s="17"/>
      <c r="N113" s="17"/>
      <c r="O113" s="17"/>
      <c r="P113" s="56"/>
      <c r="Q113" s="30">
        <f t="shared" ref="Q113:AB113" si="32">+Q114+Q115+Q116+Q117+Q118+Q119+Q120+Q121</f>
        <v>142785381</v>
      </c>
      <c r="R113" s="30">
        <f t="shared" si="32"/>
        <v>82203086</v>
      </c>
      <c r="S113" s="30">
        <f t="shared" si="32"/>
        <v>174677320</v>
      </c>
      <c r="T113" s="30">
        <f t="shared" si="32"/>
        <v>83356504</v>
      </c>
      <c r="U113" s="30">
        <f t="shared" si="32"/>
        <v>99157549</v>
      </c>
      <c r="V113" s="30">
        <f t="shared" si="32"/>
        <v>84880607</v>
      </c>
      <c r="W113" s="30">
        <f t="shared" si="32"/>
        <v>141363608</v>
      </c>
      <c r="X113" s="30">
        <f t="shared" si="32"/>
        <v>128743898.96999948</v>
      </c>
      <c r="Y113" s="30">
        <f t="shared" si="32"/>
        <v>99364884.079999998</v>
      </c>
      <c r="Z113" s="30">
        <f t="shared" si="32"/>
        <v>86907266.139999658</v>
      </c>
      <c r="AA113" s="30">
        <f t="shared" si="32"/>
        <v>182646273</v>
      </c>
      <c r="AB113" s="30">
        <f t="shared" si="32"/>
        <v>90195370.999999702</v>
      </c>
    </row>
    <row r="114" spans="1:28" x14ac:dyDescent="0.2">
      <c r="A114" s="24" t="s">
        <v>474</v>
      </c>
      <c r="B114" s="24">
        <v>2</v>
      </c>
      <c r="C114" s="24">
        <v>1</v>
      </c>
      <c r="D114" s="24">
        <v>1</v>
      </c>
      <c r="E114" s="24">
        <v>1</v>
      </c>
      <c r="F114" s="24">
        <v>1</v>
      </c>
      <c r="G114" s="24">
        <v>0</v>
      </c>
      <c r="H114" s="24">
        <v>0</v>
      </c>
      <c r="I114" s="13"/>
      <c r="J114" s="12"/>
      <c r="K114" s="10"/>
      <c r="L114" s="10" t="s">
        <v>473</v>
      </c>
      <c r="M114" s="11"/>
      <c r="N114" s="10"/>
      <c r="O114" s="10"/>
      <c r="P114" s="54"/>
      <c r="Q114" s="8">
        <v>27319489</v>
      </c>
      <c r="R114" s="8">
        <v>26080147</v>
      </c>
      <c r="S114" s="8">
        <v>39248782</v>
      </c>
      <c r="T114" s="8">
        <v>26569495</v>
      </c>
      <c r="U114" s="8">
        <v>26652221</v>
      </c>
      <c r="V114" s="8">
        <v>26703939</v>
      </c>
      <c r="W114" s="8">
        <v>26537480</v>
      </c>
      <c r="X114" s="8">
        <v>47045941.719999902</v>
      </c>
      <c r="Y114" s="8">
        <v>27049722.210000001</v>
      </c>
      <c r="Z114" s="8">
        <v>27178118.8199999</v>
      </c>
      <c r="AA114" s="8">
        <v>27250358</v>
      </c>
      <c r="AB114" s="8">
        <v>28489568.5499999</v>
      </c>
    </row>
    <row r="115" spans="1:28" x14ac:dyDescent="0.2">
      <c r="A115" s="24" t="s">
        <v>472</v>
      </c>
      <c r="B115" s="24">
        <v>2</v>
      </c>
      <c r="C115" s="24">
        <v>1</v>
      </c>
      <c r="D115" s="24">
        <v>1</v>
      </c>
      <c r="E115" s="24">
        <v>1</v>
      </c>
      <c r="F115" s="24">
        <v>2</v>
      </c>
      <c r="G115" s="24">
        <v>0</v>
      </c>
      <c r="H115" s="24">
        <v>0</v>
      </c>
      <c r="I115" s="13"/>
      <c r="J115" s="12"/>
      <c r="K115" s="10"/>
      <c r="L115" s="10" t="s">
        <v>471</v>
      </c>
      <c r="M115" s="11"/>
      <c r="N115" s="10"/>
      <c r="O115" s="10"/>
      <c r="P115" s="54"/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</row>
    <row r="116" spans="1:28" x14ac:dyDescent="0.2">
      <c r="A116" s="24" t="s">
        <v>470</v>
      </c>
      <c r="B116" s="24">
        <v>2</v>
      </c>
      <c r="C116" s="24">
        <v>1</v>
      </c>
      <c r="D116" s="24">
        <v>1</v>
      </c>
      <c r="E116" s="24">
        <v>1</v>
      </c>
      <c r="F116" s="24">
        <v>3</v>
      </c>
      <c r="G116" s="24">
        <v>0</v>
      </c>
      <c r="H116" s="24">
        <v>0</v>
      </c>
      <c r="I116" s="13"/>
      <c r="J116" s="12"/>
      <c r="K116" s="10"/>
      <c r="L116" s="10" t="s">
        <v>469</v>
      </c>
      <c r="M116" s="11"/>
      <c r="N116" s="10"/>
      <c r="O116" s="10"/>
      <c r="P116" s="54"/>
      <c r="Q116" s="8">
        <v>23977090</v>
      </c>
      <c r="R116" s="8">
        <v>5102765</v>
      </c>
      <c r="S116" s="8">
        <v>8596436</v>
      </c>
      <c r="T116" s="8">
        <v>5174284</v>
      </c>
      <c r="U116" s="8">
        <v>5640235</v>
      </c>
      <c r="V116" s="8">
        <v>5725057</v>
      </c>
      <c r="W116" s="8">
        <v>7654808</v>
      </c>
      <c r="X116" s="8">
        <v>8732309.3399999905</v>
      </c>
      <c r="Y116" s="8">
        <v>3654269.98</v>
      </c>
      <c r="Z116" s="8">
        <v>4938989.7399999872</v>
      </c>
      <c r="AA116" s="8">
        <v>42084150</v>
      </c>
      <c r="AB116" s="8">
        <v>3858862.9</v>
      </c>
    </row>
    <row r="117" spans="1:28" x14ac:dyDescent="0.2">
      <c r="A117" s="24" t="s">
        <v>468</v>
      </c>
      <c r="B117" s="24">
        <v>2</v>
      </c>
      <c r="C117" s="24">
        <v>1</v>
      </c>
      <c r="D117" s="24">
        <v>1</v>
      </c>
      <c r="E117" s="24">
        <v>1</v>
      </c>
      <c r="F117" s="24">
        <v>4</v>
      </c>
      <c r="G117" s="24">
        <v>0</v>
      </c>
      <c r="H117" s="24">
        <v>0</v>
      </c>
      <c r="I117" s="13"/>
      <c r="J117" s="10"/>
      <c r="K117" s="10"/>
      <c r="L117" s="10" t="s">
        <v>467</v>
      </c>
      <c r="M117" s="11"/>
      <c r="N117" s="10"/>
      <c r="O117" s="11"/>
      <c r="P117" s="54"/>
      <c r="Q117" s="8">
        <v>20395558</v>
      </c>
      <c r="R117" s="8">
        <v>5630064</v>
      </c>
      <c r="S117" s="8">
        <v>21448870</v>
      </c>
      <c r="T117" s="8">
        <v>6085439</v>
      </c>
      <c r="U117" s="8">
        <v>20666713</v>
      </c>
      <c r="V117" s="8">
        <v>5695625</v>
      </c>
      <c r="W117" s="8">
        <v>24496823</v>
      </c>
      <c r="X117" s="8">
        <v>6496743.4499999899</v>
      </c>
      <c r="Y117" s="8">
        <v>21290318.199999999</v>
      </c>
      <c r="Z117" s="8">
        <v>5325107.8499999903</v>
      </c>
      <c r="AA117" s="8">
        <v>21926140</v>
      </c>
      <c r="AB117" s="8">
        <v>5955469.2000000002</v>
      </c>
    </row>
    <row r="118" spans="1:28" x14ac:dyDescent="0.2">
      <c r="A118" s="24" t="s">
        <v>466</v>
      </c>
      <c r="B118" s="24">
        <v>2</v>
      </c>
      <c r="C118" s="24">
        <v>1</v>
      </c>
      <c r="D118" s="24">
        <v>1</v>
      </c>
      <c r="E118" s="24">
        <v>1</v>
      </c>
      <c r="F118" s="24">
        <v>5</v>
      </c>
      <c r="G118" s="24">
        <v>0</v>
      </c>
      <c r="H118" s="24">
        <v>0</v>
      </c>
      <c r="I118" s="13"/>
      <c r="J118" s="12"/>
      <c r="K118" s="10"/>
      <c r="L118" s="10" t="s">
        <v>465</v>
      </c>
      <c r="M118" s="11"/>
      <c r="N118" s="10"/>
      <c r="O118" s="10"/>
      <c r="P118" s="54"/>
      <c r="Q118" s="8">
        <v>71093244</v>
      </c>
      <c r="R118" s="8">
        <v>45390110</v>
      </c>
      <c r="S118" s="8">
        <v>105383232</v>
      </c>
      <c r="T118" s="8">
        <v>45527286</v>
      </c>
      <c r="U118" s="8">
        <v>46198380</v>
      </c>
      <c r="V118" s="8">
        <v>46755986</v>
      </c>
      <c r="W118" s="8">
        <v>82674497</v>
      </c>
      <c r="X118" s="8">
        <v>66468904.459999599</v>
      </c>
      <c r="Y118" s="8">
        <v>47370573.689999998</v>
      </c>
      <c r="Z118" s="8">
        <v>49465049.729999788</v>
      </c>
      <c r="AA118" s="8">
        <v>91385625</v>
      </c>
      <c r="AB118" s="8">
        <v>51891470.3499998</v>
      </c>
    </row>
    <row r="119" spans="1:28" x14ac:dyDescent="0.2">
      <c r="A119" s="24" t="s">
        <v>464</v>
      </c>
      <c r="B119" s="24">
        <v>2</v>
      </c>
      <c r="C119" s="24">
        <v>1</v>
      </c>
      <c r="D119" s="24">
        <v>1</v>
      </c>
      <c r="E119" s="24">
        <v>1</v>
      </c>
      <c r="F119" s="24">
        <v>6</v>
      </c>
      <c r="G119" s="24">
        <v>0</v>
      </c>
      <c r="H119" s="24">
        <v>0</v>
      </c>
      <c r="I119" s="13"/>
      <c r="J119" s="12"/>
      <c r="K119" s="10"/>
      <c r="L119" s="10" t="s">
        <v>463</v>
      </c>
      <c r="M119" s="11"/>
      <c r="N119" s="67"/>
      <c r="O119" s="10"/>
      <c r="P119" s="54"/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</row>
    <row r="120" spans="1:28" x14ac:dyDescent="0.2">
      <c r="A120" s="24" t="s">
        <v>462</v>
      </c>
      <c r="B120" s="24">
        <v>2</v>
      </c>
      <c r="C120" s="24">
        <v>1</v>
      </c>
      <c r="D120" s="24">
        <v>1</v>
      </c>
      <c r="E120" s="24">
        <v>1</v>
      </c>
      <c r="F120" s="24">
        <v>7</v>
      </c>
      <c r="G120" s="24">
        <v>0</v>
      </c>
      <c r="H120" s="24">
        <v>0</v>
      </c>
      <c r="I120" s="13"/>
      <c r="J120" s="12"/>
      <c r="K120" s="10"/>
      <c r="L120" s="10" t="s">
        <v>461</v>
      </c>
      <c r="M120" s="11"/>
      <c r="N120" s="10"/>
      <c r="O120" s="10"/>
      <c r="P120" s="54"/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</row>
    <row r="121" spans="1:28" x14ac:dyDescent="0.2">
      <c r="A121" s="24" t="s">
        <v>460</v>
      </c>
      <c r="B121" s="24">
        <v>2</v>
      </c>
      <c r="C121" s="24">
        <v>1</v>
      </c>
      <c r="D121" s="24">
        <v>1</v>
      </c>
      <c r="E121" s="24">
        <v>1</v>
      </c>
      <c r="F121" s="24">
        <v>8</v>
      </c>
      <c r="G121" s="24">
        <v>0</v>
      </c>
      <c r="H121" s="24">
        <v>0</v>
      </c>
      <c r="I121" s="13"/>
      <c r="J121" s="12"/>
      <c r="K121" s="10"/>
      <c r="L121" s="10" t="s">
        <v>459</v>
      </c>
      <c r="M121" s="11"/>
      <c r="N121" s="67"/>
      <c r="O121" s="10"/>
      <c r="P121" s="54"/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</row>
    <row r="122" spans="1:28" x14ac:dyDescent="0.2">
      <c r="A122" s="33" t="s">
        <v>458</v>
      </c>
      <c r="B122" s="33">
        <v>2</v>
      </c>
      <c r="C122" s="33">
        <v>1</v>
      </c>
      <c r="D122" s="33">
        <v>2</v>
      </c>
      <c r="E122" s="33">
        <v>0</v>
      </c>
      <c r="F122" s="33">
        <v>0</v>
      </c>
      <c r="G122" s="33">
        <v>0</v>
      </c>
      <c r="H122" s="33">
        <v>0</v>
      </c>
      <c r="I122" s="19"/>
      <c r="J122" s="26"/>
      <c r="K122" s="17" t="s">
        <v>457</v>
      </c>
      <c r="L122" s="17"/>
      <c r="M122" s="17"/>
      <c r="N122" s="17"/>
      <c r="O122" s="17"/>
      <c r="P122" s="56"/>
      <c r="Q122" s="30">
        <f t="shared" ref="Q122:AB122" si="33">+Q123+Q124+Q125+Q126+Q127+Q128+Q129+Q130+Q131+Q132</f>
        <v>265748</v>
      </c>
      <c r="R122" s="30">
        <f t="shared" si="33"/>
        <v>711449</v>
      </c>
      <c r="S122" s="30">
        <f t="shared" si="33"/>
        <v>1044076</v>
      </c>
      <c r="T122" s="30">
        <f t="shared" si="33"/>
        <v>937266</v>
      </c>
      <c r="U122" s="30">
        <f t="shared" si="33"/>
        <v>6391853</v>
      </c>
      <c r="V122" s="30">
        <f t="shared" si="33"/>
        <v>1058600</v>
      </c>
      <c r="W122" s="30">
        <f t="shared" si="33"/>
        <v>826600</v>
      </c>
      <c r="X122" s="30">
        <f t="shared" si="33"/>
        <v>5790761.7399999984</v>
      </c>
      <c r="Y122" s="30">
        <f t="shared" si="33"/>
        <v>1082531.8099999991</v>
      </c>
      <c r="Z122" s="30">
        <f t="shared" si="33"/>
        <v>1256083.2899999998</v>
      </c>
      <c r="AA122" s="30">
        <f t="shared" si="33"/>
        <v>1256933</v>
      </c>
      <c r="AB122" s="30">
        <f t="shared" si="33"/>
        <v>2805824.1099999878</v>
      </c>
    </row>
    <row r="123" spans="1:28" x14ac:dyDescent="0.2">
      <c r="A123" s="24" t="s">
        <v>456</v>
      </c>
      <c r="B123" s="24">
        <v>2</v>
      </c>
      <c r="C123" s="24">
        <v>1</v>
      </c>
      <c r="D123" s="24">
        <v>2</v>
      </c>
      <c r="E123" s="24">
        <v>1</v>
      </c>
      <c r="F123" s="24">
        <v>0</v>
      </c>
      <c r="G123" s="24">
        <v>0</v>
      </c>
      <c r="H123" s="24">
        <v>0</v>
      </c>
      <c r="I123" s="13"/>
      <c r="J123" s="12"/>
      <c r="K123" s="10"/>
      <c r="L123" s="10" t="s">
        <v>455</v>
      </c>
      <c r="M123" s="10"/>
      <c r="N123" s="10"/>
      <c r="O123" s="79"/>
      <c r="P123" s="54"/>
      <c r="Q123" s="8">
        <v>44905</v>
      </c>
      <c r="R123" s="8">
        <v>94475</v>
      </c>
      <c r="S123" s="8">
        <v>138338</v>
      </c>
      <c r="T123" s="8">
        <v>203133</v>
      </c>
      <c r="U123" s="8">
        <v>160777</v>
      </c>
      <c r="V123" s="8">
        <v>124645</v>
      </c>
      <c r="W123" s="8">
        <v>92762</v>
      </c>
      <c r="X123" s="8">
        <v>594269.52999999898</v>
      </c>
      <c r="Y123" s="8">
        <v>159615.70000000001</v>
      </c>
      <c r="Z123" s="8">
        <v>235196.25999999998</v>
      </c>
      <c r="AA123" s="8">
        <v>225680</v>
      </c>
      <c r="AB123" s="8">
        <v>255256.19999999899</v>
      </c>
    </row>
    <row r="124" spans="1:28" x14ac:dyDescent="0.2">
      <c r="A124" s="24" t="s">
        <v>454</v>
      </c>
      <c r="B124" s="24">
        <v>2</v>
      </c>
      <c r="C124" s="24">
        <v>1</v>
      </c>
      <c r="D124" s="24">
        <v>2</v>
      </c>
      <c r="E124" s="24">
        <v>2</v>
      </c>
      <c r="F124" s="24">
        <v>0</v>
      </c>
      <c r="G124" s="24">
        <v>0</v>
      </c>
      <c r="H124" s="24">
        <v>0</v>
      </c>
      <c r="I124" s="13"/>
      <c r="J124" s="12"/>
      <c r="K124" s="10"/>
      <c r="L124" s="10" t="s">
        <v>453</v>
      </c>
      <c r="M124" s="10"/>
      <c r="N124" s="10"/>
      <c r="O124" s="10"/>
      <c r="P124" s="54"/>
      <c r="Q124" s="8">
        <v>36134</v>
      </c>
      <c r="R124" s="8">
        <v>91602</v>
      </c>
      <c r="S124" s="8">
        <v>157821</v>
      </c>
      <c r="T124" s="8">
        <v>154562</v>
      </c>
      <c r="U124" s="8">
        <v>101600</v>
      </c>
      <c r="V124" s="8">
        <v>124846</v>
      </c>
      <c r="W124" s="8">
        <v>103301</v>
      </c>
      <c r="X124" s="8">
        <v>234800</v>
      </c>
      <c r="Y124" s="8">
        <v>107321.68</v>
      </c>
      <c r="Z124" s="8">
        <v>281242.98</v>
      </c>
      <c r="AA124" s="8">
        <v>179976</v>
      </c>
      <c r="AB124" s="8">
        <v>553456.29</v>
      </c>
    </row>
    <row r="125" spans="1:28" x14ac:dyDescent="0.2">
      <c r="A125" s="24" t="s">
        <v>452</v>
      </c>
      <c r="B125" s="24">
        <v>2</v>
      </c>
      <c r="C125" s="24">
        <v>1</v>
      </c>
      <c r="D125" s="24">
        <v>2</v>
      </c>
      <c r="E125" s="24">
        <v>3</v>
      </c>
      <c r="F125" s="24">
        <v>0</v>
      </c>
      <c r="G125" s="24">
        <v>0</v>
      </c>
      <c r="H125" s="24">
        <v>0</v>
      </c>
      <c r="I125" s="13"/>
      <c r="J125" s="12"/>
      <c r="K125" s="10"/>
      <c r="L125" s="10" t="s">
        <v>451</v>
      </c>
      <c r="M125" s="10"/>
      <c r="N125" s="10"/>
      <c r="O125" s="10"/>
      <c r="P125" s="54"/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</row>
    <row r="126" spans="1:28" x14ac:dyDescent="0.2">
      <c r="A126" s="24" t="s">
        <v>450</v>
      </c>
      <c r="B126" s="24">
        <v>2</v>
      </c>
      <c r="C126" s="24">
        <v>1</v>
      </c>
      <c r="D126" s="24">
        <v>2</v>
      </c>
      <c r="E126" s="24">
        <v>4</v>
      </c>
      <c r="F126" s="24">
        <v>0</v>
      </c>
      <c r="G126" s="24">
        <v>0</v>
      </c>
      <c r="H126" s="24">
        <v>0</v>
      </c>
      <c r="I126" s="13"/>
      <c r="J126" s="12"/>
      <c r="K126" s="10"/>
      <c r="L126" s="10" t="s">
        <v>449</v>
      </c>
      <c r="M126" s="10"/>
      <c r="N126" s="10"/>
      <c r="O126" s="10"/>
      <c r="P126" s="54"/>
      <c r="Q126" s="8">
        <v>35538</v>
      </c>
      <c r="R126" s="8">
        <v>127491</v>
      </c>
      <c r="S126" s="8">
        <v>206484</v>
      </c>
      <c r="T126" s="8">
        <v>107305</v>
      </c>
      <c r="U126" s="8">
        <v>286949</v>
      </c>
      <c r="V126" s="8">
        <v>231801</v>
      </c>
      <c r="W126" s="8">
        <v>175765</v>
      </c>
      <c r="X126" s="8">
        <v>165538.85999999999</v>
      </c>
      <c r="Y126" s="8">
        <v>216622.489999999</v>
      </c>
      <c r="Z126" s="8">
        <v>350816.21999999991</v>
      </c>
      <c r="AA126" s="8">
        <v>648758</v>
      </c>
      <c r="AB126" s="8">
        <v>624503.75</v>
      </c>
    </row>
    <row r="127" spans="1:28" x14ac:dyDescent="0.2">
      <c r="A127" s="24" t="s">
        <v>448</v>
      </c>
      <c r="B127" s="24">
        <v>2</v>
      </c>
      <c r="C127" s="24">
        <v>1</v>
      </c>
      <c r="D127" s="24">
        <v>2</v>
      </c>
      <c r="E127" s="24">
        <v>5</v>
      </c>
      <c r="F127" s="24">
        <v>0</v>
      </c>
      <c r="G127" s="24">
        <v>0</v>
      </c>
      <c r="H127" s="24">
        <v>0</v>
      </c>
      <c r="I127" s="13"/>
      <c r="J127" s="12"/>
      <c r="K127" s="10"/>
      <c r="L127" s="10" t="s">
        <v>447</v>
      </c>
      <c r="M127" s="10"/>
      <c r="N127" s="10"/>
      <c r="O127" s="10"/>
      <c r="P127" s="54"/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</row>
    <row r="128" spans="1:28" x14ac:dyDescent="0.2">
      <c r="A128" s="24" t="s">
        <v>446</v>
      </c>
      <c r="B128" s="24">
        <v>2</v>
      </c>
      <c r="C128" s="24">
        <v>1</v>
      </c>
      <c r="D128" s="24">
        <v>2</v>
      </c>
      <c r="E128" s="24">
        <v>6</v>
      </c>
      <c r="F128" s="24">
        <v>0</v>
      </c>
      <c r="G128" s="24">
        <v>0</v>
      </c>
      <c r="H128" s="24">
        <v>0</v>
      </c>
      <c r="I128" s="13"/>
      <c r="J128" s="12"/>
      <c r="K128" s="10"/>
      <c r="L128" s="10" t="s">
        <v>445</v>
      </c>
      <c r="M128" s="10"/>
      <c r="N128" s="10"/>
      <c r="O128" s="10"/>
      <c r="P128" s="54"/>
      <c r="Q128" s="8">
        <v>139042</v>
      </c>
      <c r="R128" s="8">
        <v>368223</v>
      </c>
      <c r="S128" s="8">
        <v>450905</v>
      </c>
      <c r="T128" s="8">
        <v>350337</v>
      </c>
      <c r="U128" s="8">
        <v>442821</v>
      </c>
      <c r="V128" s="8">
        <v>505434</v>
      </c>
      <c r="W128" s="8">
        <v>306365</v>
      </c>
      <c r="X128" s="8">
        <v>222034.04</v>
      </c>
      <c r="Y128" s="8">
        <v>476427.89</v>
      </c>
      <c r="Z128" s="8">
        <v>258771.13</v>
      </c>
      <c r="AA128" s="8">
        <v>21549</v>
      </c>
      <c r="AB128" s="8">
        <v>1193634.04999999</v>
      </c>
    </row>
    <row r="129" spans="1:28" x14ac:dyDescent="0.2">
      <c r="A129" s="24" t="s">
        <v>444</v>
      </c>
      <c r="B129" s="24">
        <v>2</v>
      </c>
      <c r="C129" s="24">
        <v>1</v>
      </c>
      <c r="D129" s="24">
        <v>2</v>
      </c>
      <c r="E129" s="24">
        <v>7</v>
      </c>
      <c r="F129" s="24">
        <v>0</v>
      </c>
      <c r="G129" s="24">
        <v>0</v>
      </c>
      <c r="H129" s="24">
        <v>0</v>
      </c>
      <c r="I129" s="13"/>
      <c r="J129" s="12"/>
      <c r="K129" s="10"/>
      <c r="L129" s="10" t="s">
        <v>443</v>
      </c>
      <c r="M129" s="10"/>
      <c r="N129" s="10"/>
      <c r="O129" s="52"/>
      <c r="P129" s="54"/>
      <c r="Q129" s="8">
        <v>0</v>
      </c>
      <c r="R129" s="8">
        <v>874</v>
      </c>
      <c r="S129" s="8">
        <v>0</v>
      </c>
      <c r="T129" s="8">
        <v>0</v>
      </c>
      <c r="U129" s="8">
        <v>5341064</v>
      </c>
      <c r="V129" s="8">
        <v>30677</v>
      </c>
      <c r="W129" s="8">
        <v>43132</v>
      </c>
      <c r="X129" s="8">
        <v>4165622.25</v>
      </c>
      <c r="Y129" s="8">
        <v>0</v>
      </c>
      <c r="Z129" s="8">
        <v>0</v>
      </c>
      <c r="AA129" s="8">
        <v>0</v>
      </c>
      <c r="AB129" s="8">
        <v>0</v>
      </c>
    </row>
    <row r="130" spans="1:28" x14ac:dyDescent="0.2">
      <c r="A130" s="24" t="s">
        <v>442</v>
      </c>
      <c r="B130" s="24">
        <v>2</v>
      </c>
      <c r="C130" s="24">
        <v>1</v>
      </c>
      <c r="D130" s="24">
        <v>2</v>
      </c>
      <c r="E130" s="24">
        <v>8</v>
      </c>
      <c r="F130" s="24">
        <v>0</v>
      </c>
      <c r="G130" s="24">
        <v>0</v>
      </c>
      <c r="H130" s="24">
        <v>0</v>
      </c>
      <c r="I130" s="13"/>
      <c r="J130" s="12"/>
      <c r="K130" s="10"/>
      <c r="L130" s="10" t="s">
        <v>441</v>
      </c>
      <c r="M130" s="10"/>
      <c r="N130" s="10"/>
      <c r="O130" s="10"/>
      <c r="P130" s="54"/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</row>
    <row r="131" spans="1:28" x14ac:dyDescent="0.2">
      <c r="A131" s="24" t="s">
        <v>440</v>
      </c>
      <c r="B131" s="24">
        <v>2</v>
      </c>
      <c r="C131" s="24">
        <v>1</v>
      </c>
      <c r="D131" s="24">
        <v>2</v>
      </c>
      <c r="E131" s="24">
        <v>9</v>
      </c>
      <c r="F131" s="24">
        <v>0</v>
      </c>
      <c r="G131" s="24">
        <v>0</v>
      </c>
      <c r="H131" s="24">
        <v>0</v>
      </c>
      <c r="I131" s="13"/>
      <c r="J131" s="12"/>
      <c r="K131" s="10"/>
      <c r="L131" s="10" t="s">
        <v>439</v>
      </c>
      <c r="M131" s="67"/>
      <c r="N131" s="60"/>
      <c r="O131" s="10"/>
      <c r="P131" s="54"/>
      <c r="Q131" s="8">
        <v>10129</v>
      </c>
      <c r="R131" s="8">
        <v>28784</v>
      </c>
      <c r="S131" s="8">
        <v>90528</v>
      </c>
      <c r="T131" s="8">
        <v>121929</v>
      </c>
      <c r="U131" s="8">
        <v>58642</v>
      </c>
      <c r="V131" s="8">
        <v>41197</v>
      </c>
      <c r="W131" s="8">
        <v>105275</v>
      </c>
      <c r="X131" s="8">
        <v>408497.06</v>
      </c>
      <c r="Y131" s="8">
        <v>122544.05</v>
      </c>
      <c r="Z131" s="8">
        <v>130056.6999999999</v>
      </c>
      <c r="AA131" s="8">
        <v>180970</v>
      </c>
      <c r="AB131" s="8">
        <v>178973.81999999899</v>
      </c>
    </row>
    <row r="132" spans="1:28" x14ac:dyDescent="0.2">
      <c r="A132" s="24" t="s">
        <v>438</v>
      </c>
      <c r="B132" s="24">
        <v>5</v>
      </c>
      <c r="C132" s="24">
        <v>1</v>
      </c>
      <c r="D132" s="24">
        <v>2</v>
      </c>
      <c r="E132" s="24">
        <v>1</v>
      </c>
      <c r="F132" s="24">
        <v>2</v>
      </c>
      <c r="G132" s="24">
        <v>3</v>
      </c>
      <c r="H132" s="24">
        <v>0</v>
      </c>
      <c r="I132" s="13"/>
      <c r="J132" s="12"/>
      <c r="K132" s="10"/>
      <c r="L132" s="10" t="s">
        <v>437</v>
      </c>
      <c r="M132" s="10"/>
      <c r="N132" s="11"/>
      <c r="O132" s="11"/>
      <c r="P132" s="54"/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</row>
    <row r="133" spans="1:28" x14ac:dyDescent="0.2">
      <c r="A133" s="33" t="s">
        <v>436</v>
      </c>
      <c r="B133" s="33">
        <v>2</v>
      </c>
      <c r="C133" s="33">
        <v>1</v>
      </c>
      <c r="D133" s="33">
        <v>3</v>
      </c>
      <c r="E133" s="33">
        <v>0</v>
      </c>
      <c r="F133" s="33">
        <v>0</v>
      </c>
      <c r="G133" s="33">
        <v>0</v>
      </c>
      <c r="H133" s="33">
        <v>0</v>
      </c>
      <c r="I133" s="19"/>
      <c r="J133" s="26"/>
      <c r="K133" s="17" t="s">
        <v>435</v>
      </c>
      <c r="L133" s="17"/>
      <c r="M133" s="17"/>
      <c r="N133" s="17"/>
      <c r="O133" s="17"/>
      <c r="P133" s="56"/>
      <c r="Q133" s="30">
        <f t="shared" ref="Q133:AB133" si="34">+Q134+Q135+Q136+Q137+Q138+Q139+Q140+Q141+Q142</f>
        <v>23207506</v>
      </c>
      <c r="R133" s="30">
        <f t="shared" si="34"/>
        <v>72462104</v>
      </c>
      <c r="S133" s="30">
        <f t="shared" si="34"/>
        <v>20637824</v>
      </c>
      <c r="T133" s="30">
        <f t="shared" si="34"/>
        <v>49595092.620000005</v>
      </c>
      <c r="U133" s="30">
        <f t="shared" si="34"/>
        <v>33963249</v>
      </c>
      <c r="V133" s="30">
        <f t="shared" si="34"/>
        <v>37720935.5</v>
      </c>
      <c r="W133" s="30">
        <f t="shared" si="34"/>
        <v>81023999</v>
      </c>
      <c r="X133" s="30">
        <f t="shared" si="34"/>
        <v>62889580.529999785</v>
      </c>
      <c r="Y133" s="30">
        <f t="shared" si="34"/>
        <v>107031114.4799999</v>
      </c>
      <c r="Z133" s="30">
        <f t="shared" si="34"/>
        <v>109864289.0599999</v>
      </c>
      <c r="AA133" s="30">
        <f t="shared" si="34"/>
        <v>92076681</v>
      </c>
      <c r="AB133" s="30">
        <f t="shared" si="34"/>
        <v>271935663.02999979</v>
      </c>
    </row>
    <row r="134" spans="1:28" x14ac:dyDescent="0.2">
      <c r="A134" s="24" t="s">
        <v>434</v>
      </c>
      <c r="B134" s="24">
        <v>2</v>
      </c>
      <c r="C134" s="24">
        <v>1</v>
      </c>
      <c r="D134" s="24">
        <v>3</v>
      </c>
      <c r="E134" s="24">
        <v>1</v>
      </c>
      <c r="F134" s="24">
        <v>0</v>
      </c>
      <c r="G134" s="24">
        <v>0</v>
      </c>
      <c r="H134" s="24">
        <v>0</v>
      </c>
      <c r="I134" s="13"/>
      <c r="J134" s="12"/>
      <c r="K134" s="10"/>
      <c r="L134" s="10" t="s">
        <v>433</v>
      </c>
      <c r="M134" s="10"/>
      <c r="N134" s="10"/>
      <c r="O134" s="10"/>
      <c r="P134" s="54"/>
      <c r="Q134" s="8">
        <v>4036282</v>
      </c>
      <c r="R134" s="8">
        <v>1102914</v>
      </c>
      <c r="S134" s="8">
        <v>1164876</v>
      </c>
      <c r="T134" s="8">
        <v>976175</v>
      </c>
      <c r="U134" s="8">
        <v>1830379</v>
      </c>
      <c r="V134" s="8">
        <v>7473850</v>
      </c>
      <c r="W134" s="8">
        <v>5736303</v>
      </c>
      <c r="X134" s="8">
        <v>1232454.22999999</v>
      </c>
      <c r="Y134" s="8">
        <v>4563612.8699999899</v>
      </c>
      <c r="Z134" s="8">
        <v>1402393.2900000003</v>
      </c>
      <c r="AA134" s="8">
        <v>35391434</v>
      </c>
      <c r="AB134" s="8">
        <v>45883960.719999999</v>
      </c>
    </row>
    <row r="135" spans="1:28" x14ac:dyDescent="0.2">
      <c r="A135" s="24" t="s">
        <v>432</v>
      </c>
      <c r="B135" s="24">
        <v>2</v>
      </c>
      <c r="C135" s="24">
        <v>1</v>
      </c>
      <c r="D135" s="24">
        <v>3</v>
      </c>
      <c r="E135" s="24">
        <v>2</v>
      </c>
      <c r="F135" s="24">
        <v>0</v>
      </c>
      <c r="G135" s="24">
        <v>0</v>
      </c>
      <c r="H135" s="24">
        <v>0</v>
      </c>
      <c r="I135" s="13"/>
      <c r="J135" s="12"/>
      <c r="K135" s="10"/>
      <c r="L135" s="10" t="s">
        <v>431</v>
      </c>
      <c r="M135" s="10"/>
      <c r="N135" s="10"/>
      <c r="O135" s="10"/>
      <c r="P135" s="54"/>
      <c r="Q135" s="8">
        <v>3596006</v>
      </c>
      <c r="R135" s="8">
        <v>2176309</v>
      </c>
      <c r="S135" s="8">
        <v>2601059</v>
      </c>
      <c r="T135" s="8">
        <v>2908904</v>
      </c>
      <c r="U135" s="8">
        <v>2589530</v>
      </c>
      <c r="V135" s="8">
        <v>2569634</v>
      </c>
      <c r="W135" s="8">
        <v>25902509</v>
      </c>
      <c r="X135" s="8">
        <v>3508070.74</v>
      </c>
      <c r="Y135" s="8">
        <v>3070505.84</v>
      </c>
      <c r="Z135" s="8">
        <v>3484304.5100000002</v>
      </c>
      <c r="AA135" s="8">
        <v>3484848</v>
      </c>
      <c r="AB135" s="8">
        <v>42377772.829999901</v>
      </c>
    </row>
    <row r="136" spans="1:28" x14ac:dyDescent="0.2">
      <c r="A136" s="24" t="s">
        <v>430</v>
      </c>
      <c r="B136" s="24">
        <v>2</v>
      </c>
      <c r="C136" s="24">
        <v>1</v>
      </c>
      <c r="D136" s="24">
        <v>3</v>
      </c>
      <c r="E136" s="24">
        <v>3</v>
      </c>
      <c r="F136" s="24">
        <v>0</v>
      </c>
      <c r="G136" s="24">
        <v>0</v>
      </c>
      <c r="H136" s="24">
        <v>0</v>
      </c>
      <c r="I136" s="13"/>
      <c r="J136" s="12"/>
      <c r="K136" s="10"/>
      <c r="L136" s="10" t="s">
        <v>429</v>
      </c>
      <c r="M136" s="10"/>
      <c r="N136" s="10"/>
      <c r="O136" s="10"/>
      <c r="P136" s="54"/>
      <c r="Q136" s="8">
        <v>3174212</v>
      </c>
      <c r="R136" s="8">
        <v>498214</v>
      </c>
      <c r="S136" s="8">
        <v>1557047</v>
      </c>
      <c r="T136" s="8">
        <v>19709224</v>
      </c>
      <c r="U136" s="8">
        <v>16857404</v>
      </c>
      <c r="V136" s="8">
        <v>5935401.6900000004</v>
      </c>
      <c r="W136" s="8">
        <v>24191823</v>
      </c>
      <c r="X136" s="8">
        <v>14360019.2399999</v>
      </c>
      <c r="Y136" s="8">
        <v>34975889.75</v>
      </c>
      <c r="Z136" s="8">
        <v>24029342.390000001</v>
      </c>
      <c r="AA136" s="8">
        <v>35935432</v>
      </c>
      <c r="AB136" s="8">
        <v>89769914.420000002</v>
      </c>
    </row>
    <row r="137" spans="1:28" x14ac:dyDescent="0.2">
      <c r="A137" s="24" t="s">
        <v>428</v>
      </c>
      <c r="B137" s="24">
        <v>2</v>
      </c>
      <c r="C137" s="24">
        <v>1</v>
      </c>
      <c r="D137" s="24">
        <v>3</v>
      </c>
      <c r="E137" s="24">
        <v>4</v>
      </c>
      <c r="F137" s="24">
        <v>0</v>
      </c>
      <c r="G137" s="24">
        <v>0</v>
      </c>
      <c r="H137" s="24">
        <v>0</v>
      </c>
      <c r="I137" s="86"/>
      <c r="J137" s="12"/>
      <c r="K137" s="10"/>
      <c r="L137" s="10" t="s">
        <v>427</v>
      </c>
      <c r="M137" s="10"/>
      <c r="N137" s="10"/>
      <c r="O137" s="10"/>
      <c r="P137" s="54"/>
      <c r="Q137" s="8">
        <v>15126</v>
      </c>
      <c r="R137" s="8">
        <v>16391</v>
      </c>
      <c r="S137" s="8">
        <v>24035</v>
      </c>
      <c r="T137" s="8">
        <v>192652.62</v>
      </c>
      <c r="U137" s="8">
        <v>25323</v>
      </c>
      <c r="V137" s="8">
        <v>710916</v>
      </c>
      <c r="W137" s="8">
        <v>367375</v>
      </c>
      <c r="X137" s="8">
        <v>2098429.44</v>
      </c>
      <c r="Y137" s="8">
        <v>18477.349999999999</v>
      </c>
      <c r="Z137" s="8">
        <v>181476.47999999902</v>
      </c>
      <c r="AA137" s="8">
        <v>42851</v>
      </c>
      <c r="AB137" s="8">
        <v>16469.89</v>
      </c>
    </row>
    <row r="138" spans="1:28" x14ac:dyDescent="0.2">
      <c r="A138" s="24" t="s">
        <v>426</v>
      </c>
      <c r="B138" s="24">
        <v>2</v>
      </c>
      <c r="C138" s="24">
        <v>1</v>
      </c>
      <c r="D138" s="24">
        <v>3</v>
      </c>
      <c r="E138" s="24">
        <v>5</v>
      </c>
      <c r="F138" s="24">
        <v>0</v>
      </c>
      <c r="G138" s="24">
        <v>0</v>
      </c>
      <c r="H138" s="24">
        <v>0</v>
      </c>
      <c r="I138" s="13"/>
      <c r="J138" s="12"/>
      <c r="K138" s="52"/>
      <c r="L138" s="10" t="s">
        <v>425</v>
      </c>
      <c r="M138" s="10"/>
      <c r="N138" s="10"/>
      <c r="O138" s="10"/>
      <c r="P138" s="54"/>
      <c r="Q138" s="8">
        <v>32221</v>
      </c>
      <c r="R138" s="8">
        <v>478375</v>
      </c>
      <c r="S138" s="8">
        <v>5406179</v>
      </c>
      <c r="T138" s="8">
        <v>716507</v>
      </c>
      <c r="U138" s="8">
        <v>2911458</v>
      </c>
      <c r="V138" s="8">
        <v>10521671</v>
      </c>
      <c r="W138" s="8">
        <v>15147225</v>
      </c>
      <c r="X138" s="8">
        <v>19192183.030000001</v>
      </c>
      <c r="Y138" s="8">
        <v>50096842.449999899</v>
      </c>
      <c r="Z138" s="8">
        <v>14208519.029999901</v>
      </c>
      <c r="AA138" s="8">
        <v>6431746</v>
      </c>
      <c r="AB138" s="8">
        <v>46207422.210000001</v>
      </c>
    </row>
    <row r="139" spans="1:28" x14ac:dyDescent="0.2">
      <c r="A139" s="24" t="s">
        <v>424</v>
      </c>
      <c r="B139" s="24">
        <v>2</v>
      </c>
      <c r="C139" s="24">
        <v>1</v>
      </c>
      <c r="D139" s="24">
        <v>3</v>
      </c>
      <c r="E139" s="24">
        <v>6</v>
      </c>
      <c r="F139" s="24">
        <v>0</v>
      </c>
      <c r="G139" s="24">
        <v>0</v>
      </c>
      <c r="H139" s="24">
        <v>0</v>
      </c>
      <c r="I139" s="13"/>
      <c r="J139" s="12"/>
      <c r="K139" s="52"/>
      <c r="L139" s="85" t="s">
        <v>423</v>
      </c>
      <c r="M139" s="10"/>
      <c r="N139" s="10"/>
      <c r="O139" s="52"/>
      <c r="P139" s="54"/>
      <c r="Q139" s="8">
        <v>0</v>
      </c>
      <c r="R139" s="8">
        <v>0</v>
      </c>
      <c r="S139" s="8">
        <v>0</v>
      </c>
      <c r="T139" s="8">
        <v>27600</v>
      </c>
      <c r="U139" s="8">
        <v>0</v>
      </c>
      <c r="V139" s="8">
        <v>0</v>
      </c>
      <c r="W139" s="8">
        <v>32000</v>
      </c>
      <c r="X139" s="8">
        <v>24000</v>
      </c>
      <c r="Y139" s="8">
        <v>0</v>
      </c>
      <c r="Z139" s="8">
        <v>70600</v>
      </c>
      <c r="AA139" s="8">
        <v>24000</v>
      </c>
      <c r="AB139" s="8">
        <v>48000</v>
      </c>
    </row>
    <row r="140" spans="1:28" x14ac:dyDescent="0.2">
      <c r="A140" s="24" t="s">
        <v>422</v>
      </c>
      <c r="B140" s="24">
        <v>2</v>
      </c>
      <c r="C140" s="24">
        <v>1</v>
      </c>
      <c r="D140" s="24">
        <v>3</v>
      </c>
      <c r="E140" s="24">
        <v>7</v>
      </c>
      <c r="F140" s="24">
        <v>0</v>
      </c>
      <c r="G140" s="24">
        <v>0</v>
      </c>
      <c r="H140" s="24">
        <v>0</v>
      </c>
      <c r="I140" s="13"/>
      <c r="J140" s="12"/>
      <c r="K140" s="52"/>
      <c r="L140" s="85" t="s">
        <v>421</v>
      </c>
      <c r="M140" s="10"/>
      <c r="N140" s="10"/>
      <c r="O140" s="52"/>
      <c r="P140" s="54"/>
      <c r="Q140" s="8">
        <v>725534</v>
      </c>
      <c r="R140" s="8">
        <v>910954</v>
      </c>
      <c r="S140" s="8">
        <v>1004389</v>
      </c>
      <c r="T140" s="8">
        <v>750498</v>
      </c>
      <c r="U140" s="8">
        <v>678654</v>
      </c>
      <c r="V140" s="8">
        <v>1519789</v>
      </c>
      <c r="W140" s="8">
        <v>575650</v>
      </c>
      <c r="X140" s="8">
        <v>966939.08</v>
      </c>
      <c r="Y140" s="8">
        <v>1390296.73</v>
      </c>
      <c r="Z140" s="8">
        <v>977766.35999999894</v>
      </c>
      <c r="AA140" s="8">
        <v>1033598</v>
      </c>
      <c r="AB140" s="8">
        <v>9678662.8499999996</v>
      </c>
    </row>
    <row r="141" spans="1:28" x14ac:dyDescent="0.2">
      <c r="A141" s="24" t="s">
        <v>420</v>
      </c>
      <c r="B141" s="24">
        <v>2</v>
      </c>
      <c r="C141" s="24">
        <v>1</v>
      </c>
      <c r="D141" s="24">
        <v>3</v>
      </c>
      <c r="E141" s="24">
        <v>8</v>
      </c>
      <c r="F141" s="24">
        <v>0</v>
      </c>
      <c r="G141" s="24">
        <v>0</v>
      </c>
      <c r="H141" s="24">
        <v>0</v>
      </c>
      <c r="I141" s="13"/>
      <c r="J141" s="12"/>
      <c r="K141" s="52"/>
      <c r="L141" s="10" t="s">
        <v>419</v>
      </c>
      <c r="M141" s="10"/>
      <c r="N141" s="10"/>
      <c r="O141" s="52"/>
      <c r="P141" s="54"/>
      <c r="Q141" s="8">
        <v>29451</v>
      </c>
      <c r="R141" s="8">
        <v>119705</v>
      </c>
      <c r="S141" s="8">
        <v>25495</v>
      </c>
      <c r="T141" s="8">
        <v>50280</v>
      </c>
      <c r="U141" s="8">
        <v>42975</v>
      </c>
      <c r="V141" s="8">
        <v>48262</v>
      </c>
      <c r="W141" s="8">
        <v>25468</v>
      </c>
      <c r="X141" s="8">
        <v>25207.969999999899</v>
      </c>
      <c r="Y141" s="8">
        <v>39713.06</v>
      </c>
      <c r="Z141" s="8">
        <v>166782.44999999998</v>
      </c>
      <c r="AA141" s="8">
        <v>38127</v>
      </c>
      <c r="AB141" s="8">
        <v>848625.049999999</v>
      </c>
    </row>
    <row r="142" spans="1:28" x14ac:dyDescent="0.2">
      <c r="A142" s="24" t="s">
        <v>418</v>
      </c>
      <c r="B142" s="24">
        <v>2</v>
      </c>
      <c r="C142" s="24">
        <v>1</v>
      </c>
      <c r="D142" s="24">
        <v>3</v>
      </c>
      <c r="E142" s="24">
        <v>9</v>
      </c>
      <c r="F142" s="24">
        <v>0</v>
      </c>
      <c r="G142" s="24">
        <v>0</v>
      </c>
      <c r="H142" s="24">
        <v>0</v>
      </c>
      <c r="I142" s="13"/>
      <c r="J142" s="12"/>
      <c r="K142" s="10"/>
      <c r="L142" s="10" t="s">
        <v>417</v>
      </c>
      <c r="M142" s="10"/>
      <c r="N142" s="52"/>
      <c r="O142" s="52"/>
      <c r="P142" s="54"/>
      <c r="Q142" s="8">
        <v>11598674</v>
      </c>
      <c r="R142" s="8">
        <v>67159242</v>
      </c>
      <c r="S142" s="8">
        <v>8854744</v>
      </c>
      <c r="T142" s="8">
        <v>24263252</v>
      </c>
      <c r="U142" s="8">
        <v>9027526</v>
      </c>
      <c r="V142" s="8">
        <v>8941411.8100000005</v>
      </c>
      <c r="W142" s="8">
        <v>9045646</v>
      </c>
      <c r="X142" s="8">
        <v>21482276.7999999</v>
      </c>
      <c r="Y142" s="8">
        <v>12875776.43</v>
      </c>
      <c r="Z142" s="8">
        <v>65343104.549999997</v>
      </c>
      <c r="AA142" s="8">
        <v>9694645</v>
      </c>
      <c r="AB142" s="8">
        <v>37104835.059999898</v>
      </c>
    </row>
    <row r="143" spans="1:28" x14ac:dyDescent="0.2">
      <c r="A143" s="33" t="s">
        <v>416</v>
      </c>
      <c r="B143" s="33">
        <v>2</v>
      </c>
      <c r="C143" s="33">
        <v>1</v>
      </c>
      <c r="D143" s="33">
        <v>4</v>
      </c>
      <c r="E143" s="33">
        <v>0</v>
      </c>
      <c r="F143" s="33">
        <v>0</v>
      </c>
      <c r="G143" s="33">
        <v>0</v>
      </c>
      <c r="H143" s="33">
        <v>0</v>
      </c>
      <c r="I143" s="19"/>
      <c r="J143" s="26"/>
      <c r="K143" s="17" t="s">
        <v>415</v>
      </c>
      <c r="L143" s="17"/>
      <c r="M143" s="17"/>
      <c r="N143" s="17"/>
      <c r="O143" s="17"/>
      <c r="P143" s="56"/>
      <c r="Q143" s="30">
        <f t="shared" ref="Q143:AB143" si="35">+Q144+Q145+Q146+Q147+Q148+Q149+Q150+Q151+Q152+Q153</f>
        <v>0</v>
      </c>
      <c r="R143" s="30">
        <f t="shared" si="35"/>
        <v>0</v>
      </c>
      <c r="S143" s="30">
        <f t="shared" si="35"/>
        <v>0</v>
      </c>
      <c r="T143" s="30">
        <f t="shared" si="35"/>
        <v>0</v>
      </c>
      <c r="U143" s="30">
        <f t="shared" si="35"/>
        <v>0</v>
      </c>
      <c r="V143" s="30">
        <f t="shared" si="35"/>
        <v>0</v>
      </c>
      <c r="W143" s="30">
        <f t="shared" si="35"/>
        <v>0</v>
      </c>
      <c r="X143" s="30">
        <f t="shared" si="35"/>
        <v>0</v>
      </c>
      <c r="Y143" s="30">
        <f t="shared" si="35"/>
        <v>9585552</v>
      </c>
      <c r="Z143" s="30">
        <f t="shared" si="35"/>
        <v>542989.99</v>
      </c>
      <c r="AA143" s="30">
        <f t="shared" si="35"/>
        <v>0</v>
      </c>
      <c r="AB143" s="30">
        <f t="shared" si="35"/>
        <v>5914365.04</v>
      </c>
    </row>
    <row r="144" spans="1:28" x14ac:dyDescent="0.2">
      <c r="A144" s="24" t="s">
        <v>414</v>
      </c>
      <c r="B144" s="24">
        <v>2</v>
      </c>
      <c r="C144" s="24">
        <v>1</v>
      </c>
      <c r="D144" s="24">
        <v>4</v>
      </c>
      <c r="E144" s="24">
        <v>1</v>
      </c>
      <c r="F144" s="24">
        <v>0</v>
      </c>
      <c r="G144" s="24">
        <v>0</v>
      </c>
      <c r="H144" s="24">
        <v>0</v>
      </c>
      <c r="I144" s="13"/>
      <c r="J144" s="12"/>
      <c r="K144" s="10"/>
      <c r="L144" s="10" t="s">
        <v>413</v>
      </c>
      <c r="M144" s="10"/>
      <c r="N144" s="10"/>
      <c r="O144" s="11"/>
      <c r="P144" s="54"/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</row>
    <row r="145" spans="1:28" x14ac:dyDescent="0.2">
      <c r="A145" s="24" t="s">
        <v>412</v>
      </c>
      <c r="B145" s="24">
        <v>2</v>
      </c>
      <c r="C145" s="24">
        <v>1</v>
      </c>
      <c r="D145" s="24">
        <v>4</v>
      </c>
      <c r="E145" s="24">
        <v>2</v>
      </c>
      <c r="F145" s="24">
        <v>0</v>
      </c>
      <c r="G145" s="24">
        <v>0</v>
      </c>
      <c r="H145" s="24">
        <v>0</v>
      </c>
      <c r="I145" s="13"/>
      <c r="J145" s="12"/>
      <c r="K145" s="10"/>
      <c r="L145" s="10" t="s">
        <v>411</v>
      </c>
      <c r="M145" s="10"/>
      <c r="N145" s="11"/>
      <c r="O145" s="10"/>
      <c r="P145" s="54"/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</row>
    <row r="146" spans="1:28" x14ac:dyDescent="0.2">
      <c r="A146" s="24" t="s">
        <v>410</v>
      </c>
      <c r="B146" s="24">
        <v>2</v>
      </c>
      <c r="C146" s="24">
        <v>1</v>
      </c>
      <c r="D146" s="24">
        <v>4</v>
      </c>
      <c r="E146" s="24">
        <v>3</v>
      </c>
      <c r="F146" s="24">
        <v>0</v>
      </c>
      <c r="G146" s="24">
        <v>0</v>
      </c>
      <c r="H146" s="24">
        <v>0</v>
      </c>
      <c r="I146" s="13"/>
      <c r="J146" s="12"/>
      <c r="K146" s="10"/>
      <c r="L146" s="10" t="s">
        <v>409</v>
      </c>
      <c r="M146" s="10"/>
      <c r="N146" s="11"/>
      <c r="O146" s="10"/>
      <c r="P146" s="54"/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</row>
    <row r="147" spans="1:28" x14ac:dyDescent="0.2">
      <c r="A147" s="24" t="s">
        <v>408</v>
      </c>
      <c r="B147" s="24">
        <v>2</v>
      </c>
      <c r="C147" s="24">
        <v>1</v>
      </c>
      <c r="D147" s="24">
        <v>4</v>
      </c>
      <c r="E147" s="24">
        <v>4</v>
      </c>
      <c r="F147" s="24">
        <v>0</v>
      </c>
      <c r="G147" s="24">
        <v>0</v>
      </c>
      <c r="H147" s="24">
        <v>0</v>
      </c>
      <c r="I147" s="13"/>
      <c r="J147" s="12"/>
      <c r="K147" s="10"/>
      <c r="L147" s="10" t="s">
        <v>407</v>
      </c>
      <c r="M147" s="10"/>
      <c r="N147" s="10"/>
      <c r="O147" s="11"/>
      <c r="P147" s="54"/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</row>
    <row r="148" spans="1:28" x14ac:dyDescent="0.2">
      <c r="A148" s="24" t="s">
        <v>406</v>
      </c>
      <c r="B148" s="24">
        <v>2</v>
      </c>
      <c r="C148" s="24">
        <v>1</v>
      </c>
      <c r="D148" s="24">
        <v>4</v>
      </c>
      <c r="E148" s="24">
        <v>5</v>
      </c>
      <c r="F148" s="24">
        <v>0</v>
      </c>
      <c r="G148" s="24">
        <v>0</v>
      </c>
      <c r="H148" s="24">
        <v>0</v>
      </c>
      <c r="I148" s="13"/>
      <c r="J148" s="12"/>
      <c r="K148" s="10"/>
      <c r="L148" s="10" t="s">
        <v>405</v>
      </c>
      <c r="M148" s="10"/>
      <c r="N148" s="10"/>
      <c r="O148" s="11"/>
      <c r="P148" s="54"/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</row>
    <row r="149" spans="1:28" x14ac:dyDescent="0.2">
      <c r="A149" s="24" t="s">
        <v>404</v>
      </c>
      <c r="B149" s="24">
        <v>2</v>
      </c>
      <c r="C149" s="24">
        <v>1</v>
      </c>
      <c r="D149" s="24">
        <v>4</v>
      </c>
      <c r="E149" s="24">
        <v>6</v>
      </c>
      <c r="F149" s="24">
        <v>0</v>
      </c>
      <c r="G149" s="24">
        <v>0</v>
      </c>
      <c r="H149" s="24">
        <v>0</v>
      </c>
      <c r="I149" s="13"/>
      <c r="J149" s="12"/>
      <c r="K149" s="10"/>
      <c r="L149" s="10" t="s">
        <v>403</v>
      </c>
      <c r="M149" s="10"/>
      <c r="N149" s="10"/>
      <c r="O149" s="11"/>
      <c r="P149" s="54"/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300489.99</v>
      </c>
      <c r="AA149" s="8">
        <v>0</v>
      </c>
      <c r="AB149" s="8">
        <v>5613875.0499999998</v>
      </c>
    </row>
    <row r="150" spans="1:28" x14ac:dyDescent="0.2">
      <c r="A150" s="24" t="s">
        <v>402</v>
      </c>
      <c r="B150" s="24">
        <v>2</v>
      </c>
      <c r="C150" s="24">
        <v>1</v>
      </c>
      <c r="D150" s="24">
        <v>4</v>
      </c>
      <c r="E150" s="24">
        <v>7</v>
      </c>
      <c r="F150" s="24">
        <v>0</v>
      </c>
      <c r="G150" s="24">
        <v>0</v>
      </c>
      <c r="H150" s="24">
        <v>0</v>
      </c>
      <c r="I150" s="13"/>
      <c r="J150" s="12"/>
      <c r="K150" s="10"/>
      <c r="L150" s="10" t="s">
        <v>401</v>
      </c>
      <c r="M150" s="52"/>
      <c r="N150" s="10"/>
      <c r="O150" s="11"/>
      <c r="P150" s="54"/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</row>
    <row r="151" spans="1:28" x14ac:dyDescent="0.2">
      <c r="A151" s="24" t="s">
        <v>400</v>
      </c>
      <c r="B151" s="24">
        <v>2</v>
      </c>
      <c r="C151" s="24">
        <v>1</v>
      </c>
      <c r="D151" s="24">
        <v>4</v>
      </c>
      <c r="E151" s="24">
        <v>8</v>
      </c>
      <c r="F151" s="24">
        <v>0</v>
      </c>
      <c r="G151" s="24">
        <v>0</v>
      </c>
      <c r="H151" s="24">
        <v>0</v>
      </c>
      <c r="I151" s="13"/>
      <c r="J151" s="12"/>
      <c r="K151" s="10"/>
      <c r="L151" s="10" t="s">
        <v>399</v>
      </c>
      <c r="M151" s="52"/>
      <c r="N151" s="10"/>
      <c r="O151" s="11"/>
      <c r="P151" s="54"/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</row>
    <row r="152" spans="1:28" x14ac:dyDescent="0.2">
      <c r="A152" s="24" t="s">
        <v>398</v>
      </c>
      <c r="B152" s="24">
        <v>2</v>
      </c>
      <c r="C152" s="24">
        <v>1</v>
      </c>
      <c r="D152" s="24">
        <v>4</v>
      </c>
      <c r="E152" s="24">
        <v>9</v>
      </c>
      <c r="F152" s="24">
        <v>0</v>
      </c>
      <c r="G152" s="24">
        <v>0</v>
      </c>
      <c r="H152" s="24">
        <v>0</v>
      </c>
      <c r="I152" s="13"/>
      <c r="J152" s="12"/>
      <c r="K152" s="10"/>
      <c r="L152" s="10" t="s">
        <v>397</v>
      </c>
      <c r="M152" s="52"/>
      <c r="N152" s="11"/>
      <c r="O152" s="10"/>
      <c r="P152" s="84"/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9585552</v>
      </c>
      <c r="Z152" s="8">
        <v>242500</v>
      </c>
      <c r="AA152" s="8">
        <v>0</v>
      </c>
      <c r="AB152" s="8">
        <v>300489.99</v>
      </c>
    </row>
    <row r="153" spans="1:28" x14ac:dyDescent="0.2">
      <c r="A153" s="24" t="s">
        <v>396</v>
      </c>
      <c r="B153" s="24">
        <v>2</v>
      </c>
      <c r="C153" s="24">
        <v>1</v>
      </c>
      <c r="D153" s="24">
        <v>4</v>
      </c>
      <c r="E153" s="24">
        <v>10</v>
      </c>
      <c r="F153" s="24">
        <v>0</v>
      </c>
      <c r="G153" s="24">
        <v>0</v>
      </c>
      <c r="H153" s="24">
        <v>0</v>
      </c>
      <c r="I153" s="13"/>
      <c r="J153" s="12"/>
      <c r="K153" s="10"/>
      <c r="L153" s="10" t="s">
        <v>395</v>
      </c>
      <c r="M153" s="10"/>
      <c r="N153" s="10"/>
      <c r="O153" s="52"/>
      <c r="P153" s="84"/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</row>
    <row r="154" spans="1:28" x14ac:dyDescent="0.2">
      <c r="A154" s="33" t="s">
        <v>394</v>
      </c>
      <c r="B154" s="33">
        <v>2</v>
      </c>
      <c r="C154" s="33">
        <v>1</v>
      </c>
      <c r="D154" s="33">
        <v>5</v>
      </c>
      <c r="E154" s="33">
        <v>0</v>
      </c>
      <c r="F154" s="33">
        <v>0</v>
      </c>
      <c r="G154" s="33">
        <v>0</v>
      </c>
      <c r="H154" s="33">
        <v>0</v>
      </c>
      <c r="I154" s="19"/>
      <c r="J154" s="26"/>
      <c r="K154" s="26" t="s">
        <v>393</v>
      </c>
      <c r="L154" s="17"/>
      <c r="M154" s="17"/>
      <c r="N154" s="17"/>
      <c r="O154" s="17"/>
      <c r="P154" s="56"/>
      <c r="Q154" s="30">
        <f t="shared" ref="Q154:AB154" si="36">+Q155+Q156+Q157+Q158</f>
        <v>2683785</v>
      </c>
      <c r="R154" s="30">
        <f t="shared" si="36"/>
        <v>0</v>
      </c>
      <c r="S154" s="30">
        <f t="shared" si="36"/>
        <v>0</v>
      </c>
      <c r="T154" s="30">
        <f t="shared" si="36"/>
        <v>0</v>
      </c>
      <c r="U154" s="30">
        <f t="shared" si="36"/>
        <v>0</v>
      </c>
      <c r="V154" s="30">
        <f t="shared" si="36"/>
        <v>0</v>
      </c>
      <c r="W154" s="30">
        <f t="shared" si="36"/>
        <v>0</v>
      </c>
      <c r="X154" s="30">
        <f t="shared" si="36"/>
        <v>0</v>
      </c>
      <c r="Y154" s="30">
        <f t="shared" si="36"/>
        <v>0</v>
      </c>
      <c r="Z154" s="30">
        <f t="shared" si="36"/>
        <v>0</v>
      </c>
      <c r="AA154" s="30">
        <f t="shared" si="36"/>
        <v>0</v>
      </c>
      <c r="AB154" s="30">
        <f t="shared" si="36"/>
        <v>196846440.86000001</v>
      </c>
    </row>
    <row r="155" spans="1:28" x14ac:dyDescent="0.2">
      <c r="A155" s="24" t="s">
        <v>392</v>
      </c>
      <c r="B155" s="24">
        <v>2</v>
      </c>
      <c r="C155" s="24">
        <v>1</v>
      </c>
      <c r="D155" s="24">
        <v>5</v>
      </c>
      <c r="E155" s="24">
        <v>1</v>
      </c>
      <c r="F155" s="24">
        <v>0</v>
      </c>
      <c r="G155" s="24">
        <v>0</v>
      </c>
      <c r="H155" s="24">
        <v>0</v>
      </c>
      <c r="I155" s="13"/>
      <c r="J155" s="12"/>
      <c r="K155" s="10"/>
      <c r="L155" s="11" t="s">
        <v>391</v>
      </c>
      <c r="M155" s="10"/>
      <c r="N155" s="67"/>
      <c r="O155" s="11"/>
      <c r="P155" s="54"/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</row>
    <row r="156" spans="1:28" x14ac:dyDescent="0.2">
      <c r="A156" s="24" t="s">
        <v>390</v>
      </c>
      <c r="B156" s="24">
        <v>2</v>
      </c>
      <c r="C156" s="24">
        <v>1</v>
      </c>
      <c r="D156" s="24">
        <v>5</v>
      </c>
      <c r="E156" s="24">
        <v>2</v>
      </c>
      <c r="F156" s="24">
        <v>0</v>
      </c>
      <c r="G156" s="24">
        <v>0</v>
      </c>
      <c r="H156" s="24">
        <v>0</v>
      </c>
      <c r="I156" s="13"/>
      <c r="J156" s="12"/>
      <c r="K156" s="10"/>
      <c r="L156" s="11" t="s">
        <v>389</v>
      </c>
      <c r="M156" s="10"/>
      <c r="N156" s="67"/>
      <c r="O156" s="11"/>
      <c r="P156" s="54"/>
      <c r="Q156" s="8">
        <v>2683785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196846440.86000001</v>
      </c>
    </row>
    <row r="157" spans="1:28" x14ac:dyDescent="0.2">
      <c r="A157" s="24" t="s">
        <v>388</v>
      </c>
      <c r="B157" s="24">
        <v>2</v>
      </c>
      <c r="C157" s="24">
        <v>1</v>
      </c>
      <c r="D157" s="24">
        <v>5</v>
      </c>
      <c r="E157" s="24">
        <v>3</v>
      </c>
      <c r="F157" s="24">
        <v>0</v>
      </c>
      <c r="G157" s="24">
        <v>0</v>
      </c>
      <c r="H157" s="24">
        <v>0</v>
      </c>
      <c r="I157" s="13"/>
      <c r="J157" s="12"/>
      <c r="K157" s="10"/>
      <c r="L157" s="11" t="s">
        <v>387</v>
      </c>
      <c r="M157" s="10"/>
      <c r="N157" s="67"/>
      <c r="O157" s="11"/>
      <c r="P157" s="54"/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</row>
    <row r="158" spans="1:28" x14ac:dyDescent="0.2">
      <c r="A158" s="24" t="s">
        <v>386</v>
      </c>
      <c r="B158" s="24">
        <v>2</v>
      </c>
      <c r="C158" s="24">
        <v>1</v>
      </c>
      <c r="D158" s="24">
        <v>5</v>
      </c>
      <c r="E158" s="24">
        <v>4</v>
      </c>
      <c r="F158" s="24">
        <v>0</v>
      </c>
      <c r="G158" s="24">
        <v>0</v>
      </c>
      <c r="H158" s="24">
        <v>0</v>
      </c>
      <c r="I158" s="13"/>
      <c r="J158" s="12"/>
      <c r="K158" s="10"/>
      <c r="L158" s="10" t="s">
        <v>385</v>
      </c>
      <c r="M158" s="10"/>
      <c r="N158" s="10"/>
      <c r="O158" s="10"/>
      <c r="P158" s="54"/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</row>
    <row r="159" spans="1:28" x14ac:dyDescent="0.2">
      <c r="A159" s="24" t="s">
        <v>384</v>
      </c>
      <c r="B159" s="24">
        <v>5</v>
      </c>
      <c r="C159" s="24">
        <v>1</v>
      </c>
      <c r="D159" s="24">
        <v>2</v>
      </c>
      <c r="E159" s="24">
        <v>4</v>
      </c>
      <c r="F159" s="24">
        <v>1</v>
      </c>
      <c r="G159" s="24">
        <v>0</v>
      </c>
      <c r="H159" s="24">
        <v>0</v>
      </c>
      <c r="I159" s="13"/>
      <c r="J159" s="12"/>
      <c r="K159" s="10" t="s">
        <v>56</v>
      </c>
      <c r="L159" s="11"/>
      <c r="M159" s="11"/>
      <c r="N159" s="10"/>
      <c r="O159" s="10"/>
      <c r="P159" s="54"/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</row>
    <row r="160" spans="1:28" x14ac:dyDescent="0.2">
      <c r="A160" s="20" t="s">
        <v>383</v>
      </c>
      <c r="B160" s="20">
        <v>2</v>
      </c>
      <c r="C160" s="20">
        <v>2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8"/>
      <c r="J160" s="26" t="s">
        <v>382</v>
      </c>
      <c r="K160" s="17"/>
      <c r="L160" s="17"/>
      <c r="M160" s="17"/>
      <c r="N160" s="17"/>
      <c r="O160" s="83"/>
      <c r="P160" s="56"/>
      <c r="Q160" s="15">
        <f t="shared" ref="Q160:AB160" si="37">+Q161+Q162+Q163+Q164+Q165+Q166</f>
        <v>0</v>
      </c>
      <c r="R160" s="15">
        <f t="shared" si="37"/>
        <v>0</v>
      </c>
      <c r="S160" s="15">
        <f t="shared" si="37"/>
        <v>3052</v>
      </c>
      <c r="T160" s="15">
        <f t="shared" si="37"/>
        <v>22080</v>
      </c>
      <c r="U160" s="15">
        <f t="shared" si="37"/>
        <v>262034.25</v>
      </c>
      <c r="V160" s="15">
        <f t="shared" si="37"/>
        <v>50201.1</v>
      </c>
      <c r="W160" s="15">
        <f t="shared" si="37"/>
        <v>13576.97</v>
      </c>
      <c r="X160" s="15">
        <f t="shared" si="37"/>
        <v>30012.22</v>
      </c>
      <c r="Y160" s="15">
        <f t="shared" si="37"/>
        <v>10835.91</v>
      </c>
      <c r="Z160" s="15">
        <f t="shared" si="37"/>
        <v>0</v>
      </c>
      <c r="AA160" s="15">
        <f t="shared" si="37"/>
        <v>5024</v>
      </c>
      <c r="AB160" s="15">
        <f t="shared" si="37"/>
        <v>0</v>
      </c>
    </row>
    <row r="161" spans="1:28" x14ac:dyDescent="0.2">
      <c r="A161" s="24" t="s">
        <v>381</v>
      </c>
      <c r="B161" s="24">
        <v>2</v>
      </c>
      <c r="C161" s="24">
        <v>2</v>
      </c>
      <c r="D161" s="24">
        <v>3</v>
      </c>
      <c r="E161" s="24">
        <v>0</v>
      </c>
      <c r="F161" s="24">
        <v>0</v>
      </c>
      <c r="G161" s="24">
        <v>0</v>
      </c>
      <c r="H161" s="24">
        <v>0</v>
      </c>
      <c r="I161" s="23"/>
      <c r="J161" s="10"/>
      <c r="K161" s="10" t="s">
        <v>380</v>
      </c>
      <c r="L161" s="61"/>
      <c r="M161" s="10"/>
      <c r="N161" s="10"/>
      <c r="O161" s="10"/>
      <c r="P161" s="54"/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</row>
    <row r="162" spans="1:28" x14ac:dyDescent="0.2">
      <c r="A162" s="24" t="s">
        <v>379</v>
      </c>
      <c r="B162" s="24">
        <v>2</v>
      </c>
      <c r="C162" s="24">
        <v>2</v>
      </c>
      <c r="D162" s="24">
        <v>4</v>
      </c>
      <c r="E162" s="24">
        <v>0</v>
      </c>
      <c r="F162" s="24">
        <v>0</v>
      </c>
      <c r="G162" s="24">
        <v>0</v>
      </c>
      <c r="H162" s="24">
        <v>0</v>
      </c>
      <c r="I162" s="23"/>
      <c r="J162" s="10"/>
      <c r="K162" s="11" t="s">
        <v>378</v>
      </c>
      <c r="L162" s="65"/>
      <c r="M162" s="10"/>
      <c r="N162" s="11"/>
      <c r="O162" s="10"/>
      <c r="P162" s="54"/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</row>
    <row r="163" spans="1:28" x14ac:dyDescent="0.2">
      <c r="A163" s="24" t="s">
        <v>377</v>
      </c>
      <c r="B163" s="24">
        <v>2</v>
      </c>
      <c r="C163" s="24">
        <v>2</v>
      </c>
      <c r="D163" s="24">
        <v>5</v>
      </c>
      <c r="E163" s="24">
        <v>0</v>
      </c>
      <c r="F163" s="24">
        <v>0</v>
      </c>
      <c r="G163" s="24">
        <v>0</v>
      </c>
      <c r="H163" s="24">
        <v>0</v>
      </c>
      <c r="I163" s="23"/>
      <c r="J163" s="10"/>
      <c r="K163" s="11" t="s">
        <v>376</v>
      </c>
      <c r="L163" s="82"/>
      <c r="M163" s="10"/>
      <c r="N163" s="11"/>
      <c r="O163" s="10"/>
      <c r="P163" s="54"/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</row>
    <row r="164" spans="1:28" x14ac:dyDescent="0.2">
      <c r="A164" s="24" t="s">
        <v>375</v>
      </c>
      <c r="B164" s="24">
        <v>2</v>
      </c>
      <c r="C164" s="24">
        <v>2</v>
      </c>
      <c r="D164" s="24">
        <v>8</v>
      </c>
      <c r="E164" s="24">
        <v>0</v>
      </c>
      <c r="F164" s="24">
        <v>0</v>
      </c>
      <c r="G164" s="24">
        <v>0</v>
      </c>
      <c r="H164" s="24">
        <v>0</v>
      </c>
      <c r="I164" s="23"/>
      <c r="J164" s="10"/>
      <c r="K164" s="10" t="s">
        <v>374</v>
      </c>
      <c r="L164" s="81"/>
      <c r="M164" s="77"/>
      <c r="N164" s="10"/>
      <c r="O164" s="10"/>
      <c r="P164" s="54"/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</row>
    <row r="165" spans="1:28" x14ac:dyDescent="0.2">
      <c r="A165" s="24" t="s">
        <v>373</v>
      </c>
      <c r="B165" s="24">
        <v>2</v>
      </c>
      <c r="C165" s="24">
        <v>2</v>
      </c>
      <c r="D165" s="24">
        <v>7</v>
      </c>
      <c r="E165" s="24">
        <v>0</v>
      </c>
      <c r="F165" s="24">
        <v>0</v>
      </c>
      <c r="G165" s="24">
        <v>0</v>
      </c>
      <c r="H165" s="24">
        <v>0</v>
      </c>
      <c r="I165" s="55"/>
      <c r="J165" s="11"/>
      <c r="K165" s="11" t="s">
        <v>372</v>
      </c>
      <c r="L165" s="11"/>
      <c r="M165" s="11"/>
      <c r="N165" s="11"/>
      <c r="O165" s="11"/>
      <c r="P165" s="80"/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</row>
    <row r="166" spans="1:28" x14ac:dyDescent="0.2">
      <c r="A166" s="24" t="s">
        <v>371</v>
      </c>
      <c r="B166" s="24">
        <v>2</v>
      </c>
      <c r="C166" s="24">
        <v>2</v>
      </c>
      <c r="D166" s="24">
        <v>14</v>
      </c>
      <c r="E166" s="24">
        <v>0</v>
      </c>
      <c r="F166" s="24">
        <v>0</v>
      </c>
      <c r="G166" s="24">
        <v>0</v>
      </c>
      <c r="H166" s="24">
        <v>0</v>
      </c>
      <c r="I166" s="23"/>
      <c r="J166" s="10"/>
      <c r="K166" s="10" t="s">
        <v>370</v>
      </c>
      <c r="L166" s="10"/>
      <c r="M166" s="10"/>
      <c r="N166" s="10"/>
      <c r="O166" s="79"/>
      <c r="P166" s="54"/>
      <c r="Q166" s="8">
        <v>0</v>
      </c>
      <c r="R166" s="8">
        <v>0</v>
      </c>
      <c r="S166" s="8">
        <v>3052</v>
      </c>
      <c r="T166" s="8">
        <v>22080</v>
      </c>
      <c r="U166" s="8">
        <v>262034.25</v>
      </c>
      <c r="V166" s="8">
        <v>50201.1</v>
      </c>
      <c r="W166" s="8">
        <v>13576.97</v>
      </c>
      <c r="X166" s="8">
        <v>30012.22</v>
      </c>
      <c r="Y166" s="8">
        <v>10835.91</v>
      </c>
      <c r="Z166" s="8">
        <v>0</v>
      </c>
      <c r="AA166" s="8">
        <v>5024</v>
      </c>
      <c r="AB166" s="8">
        <v>0</v>
      </c>
    </row>
    <row r="167" spans="1:28" x14ac:dyDescent="0.2">
      <c r="A167" s="20" t="s">
        <v>369</v>
      </c>
      <c r="B167" s="20">
        <v>2</v>
      </c>
      <c r="C167" s="20">
        <v>4</v>
      </c>
      <c r="D167" s="20">
        <v>1</v>
      </c>
      <c r="E167" s="20">
        <v>0</v>
      </c>
      <c r="F167" s="20">
        <v>0</v>
      </c>
      <c r="G167" s="20">
        <v>0</v>
      </c>
      <c r="H167" s="20">
        <v>0</v>
      </c>
      <c r="I167" s="28"/>
      <c r="J167" s="26" t="s">
        <v>368</v>
      </c>
      <c r="K167" s="17"/>
      <c r="L167" s="17"/>
      <c r="M167" s="17"/>
      <c r="N167" s="17"/>
      <c r="O167" s="32"/>
      <c r="P167" s="16"/>
      <c r="Q167" s="15">
        <f t="shared" ref="Q167:AB167" si="38">+Q168+Q180</f>
        <v>0</v>
      </c>
      <c r="R167" s="15">
        <f t="shared" si="38"/>
        <v>0</v>
      </c>
      <c r="S167" s="15">
        <f t="shared" si="38"/>
        <v>0</v>
      </c>
      <c r="T167" s="15">
        <f t="shared" si="38"/>
        <v>0</v>
      </c>
      <c r="U167" s="15">
        <f t="shared" si="38"/>
        <v>0</v>
      </c>
      <c r="V167" s="15">
        <f t="shared" si="38"/>
        <v>0</v>
      </c>
      <c r="W167" s="15">
        <f t="shared" si="38"/>
        <v>0</v>
      </c>
      <c r="X167" s="15">
        <f t="shared" si="38"/>
        <v>0</v>
      </c>
      <c r="Y167" s="15">
        <f t="shared" si="38"/>
        <v>0</v>
      </c>
      <c r="Z167" s="15">
        <f t="shared" si="38"/>
        <v>0</v>
      </c>
      <c r="AA167" s="15">
        <f t="shared" si="38"/>
        <v>0</v>
      </c>
      <c r="AB167" s="15">
        <f t="shared" si="38"/>
        <v>0</v>
      </c>
    </row>
    <row r="168" spans="1:28" x14ac:dyDescent="0.2">
      <c r="A168" s="33" t="s">
        <v>367</v>
      </c>
      <c r="B168" s="33">
        <v>2</v>
      </c>
      <c r="C168" s="33">
        <v>4</v>
      </c>
      <c r="D168" s="33">
        <v>1</v>
      </c>
      <c r="E168" s="33">
        <v>1</v>
      </c>
      <c r="F168" s="33">
        <v>0</v>
      </c>
      <c r="G168" s="33">
        <v>0</v>
      </c>
      <c r="H168" s="33">
        <v>0</v>
      </c>
      <c r="I168" s="28"/>
      <c r="J168" s="17"/>
      <c r="K168" s="17" t="s">
        <v>366</v>
      </c>
      <c r="L168" s="17"/>
      <c r="M168" s="17"/>
      <c r="N168" s="17"/>
      <c r="O168" s="32"/>
      <c r="P168" s="16"/>
      <c r="Q168" s="30">
        <f t="shared" ref="Q168:AB168" si="39">+Q169+Q173+Q176+Q179</f>
        <v>0</v>
      </c>
      <c r="R168" s="30">
        <f t="shared" si="39"/>
        <v>0</v>
      </c>
      <c r="S168" s="30">
        <f t="shared" si="39"/>
        <v>0</v>
      </c>
      <c r="T168" s="30">
        <f t="shared" si="39"/>
        <v>0</v>
      </c>
      <c r="U168" s="30">
        <f t="shared" si="39"/>
        <v>0</v>
      </c>
      <c r="V168" s="30">
        <f t="shared" si="39"/>
        <v>0</v>
      </c>
      <c r="W168" s="30">
        <f t="shared" si="39"/>
        <v>0</v>
      </c>
      <c r="X168" s="30">
        <f t="shared" si="39"/>
        <v>0</v>
      </c>
      <c r="Y168" s="30">
        <f t="shared" si="39"/>
        <v>0</v>
      </c>
      <c r="Z168" s="30">
        <f t="shared" si="39"/>
        <v>0</v>
      </c>
      <c r="AA168" s="30">
        <f t="shared" si="39"/>
        <v>0</v>
      </c>
      <c r="AB168" s="30">
        <f t="shared" si="39"/>
        <v>0</v>
      </c>
    </row>
    <row r="169" spans="1:28" x14ac:dyDescent="0.2">
      <c r="A169" s="33" t="s">
        <v>365</v>
      </c>
      <c r="B169" s="33">
        <v>2</v>
      </c>
      <c r="C169" s="33">
        <v>4</v>
      </c>
      <c r="D169" s="33">
        <v>1</v>
      </c>
      <c r="E169" s="33">
        <v>1</v>
      </c>
      <c r="F169" s="33">
        <v>1</v>
      </c>
      <c r="G169" s="33">
        <v>0</v>
      </c>
      <c r="H169" s="33">
        <v>0</v>
      </c>
      <c r="I169" s="19"/>
      <c r="J169" s="17"/>
      <c r="K169" s="17"/>
      <c r="L169" s="17" t="s">
        <v>364</v>
      </c>
      <c r="M169" s="17"/>
      <c r="N169" s="17"/>
      <c r="O169" s="32"/>
      <c r="P169" s="16"/>
      <c r="Q169" s="30">
        <f t="shared" ref="Q169:AB169" si="40">+Q170+Q171+Q172</f>
        <v>0</v>
      </c>
      <c r="R169" s="30">
        <f t="shared" si="40"/>
        <v>0</v>
      </c>
      <c r="S169" s="30">
        <f t="shared" si="40"/>
        <v>0</v>
      </c>
      <c r="T169" s="30">
        <f t="shared" si="40"/>
        <v>0</v>
      </c>
      <c r="U169" s="30">
        <f t="shared" si="40"/>
        <v>0</v>
      </c>
      <c r="V169" s="30">
        <f t="shared" si="40"/>
        <v>0</v>
      </c>
      <c r="W169" s="30">
        <f t="shared" si="40"/>
        <v>0</v>
      </c>
      <c r="X169" s="30">
        <f t="shared" si="40"/>
        <v>0</v>
      </c>
      <c r="Y169" s="30">
        <f t="shared" si="40"/>
        <v>0</v>
      </c>
      <c r="Z169" s="30">
        <f t="shared" si="40"/>
        <v>0</v>
      </c>
      <c r="AA169" s="30">
        <f t="shared" si="40"/>
        <v>0</v>
      </c>
      <c r="AB169" s="30">
        <f t="shared" si="40"/>
        <v>0</v>
      </c>
    </row>
    <row r="170" spans="1:28" x14ac:dyDescent="0.2">
      <c r="A170" s="24" t="s">
        <v>363</v>
      </c>
      <c r="B170" s="24">
        <v>2</v>
      </c>
      <c r="C170" s="24">
        <v>4</v>
      </c>
      <c r="D170" s="24">
        <v>1</v>
      </c>
      <c r="E170" s="24">
        <v>1</v>
      </c>
      <c r="F170" s="24">
        <v>1</v>
      </c>
      <c r="G170" s="24">
        <v>1</v>
      </c>
      <c r="H170" s="24">
        <v>0</v>
      </c>
      <c r="I170" s="13"/>
      <c r="J170" s="10"/>
      <c r="K170" s="10"/>
      <c r="L170" s="10"/>
      <c r="M170" s="10" t="s">
        <v>362</v>
      </c>
      <c r="N170" s="10"/>
      <c r="O170" s="11"/>
      <c r="P170" s="9"/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</row>
    <row r="171" spans="1:28" x14ac:dyDescent="0.2">
      <c r="A171" s="24" t="s">
        <v>361</v>
      </c>
      <c r="B171" s="24">
        <v>2</v>
      </c>
      <c r="C171" s="24">
        <v>4</v>
      </c>
      <c r="D171" s="24">
        <v>1</v>
      </c>
      <c r="E171" s="24">
        <v>1</v>
      </c>
      <c r="F171" s="24">
        <v>1</v>
      </c>
      <c r="G171" s="24">
        <v>4</v>
      </c>
      <c r="H171" s="24">
        <v>0</v>
      </c>
      <c r="I171" s="13"/>
      <c r="J171" s="10"/>
      <c r="K171" s="10"/>
      <c r="L171" s="10"/>
      <c r="M171" s="10" t="s">
        <v>360</v>
      </c>
      <c r="N171" s="10"/>
      <c r="O171" s="11"/>
      <c r="P171" s="9"/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</row>
    <row r="172" spans="1:28" x14ac:dyDescent="0.2">
      <c r="A172" s="24" t="s">
        <v>359</v>
      </c>
      <c r="B172" s="24">
        <v>2</v>
      </c>
      <c r="C172" s="24">
        <v>4</v>
      </c>
      <c r="D172" s="24">
        <v>1</v>
      </c>
      <c r="E172" s="24">
        <v>1</v>
      </c>
      <c r="F172" s="24">
        <v>1</v>
      </c>
      <c r="G172" s="24">
        <v>7</v>
      </c>
      <c r="H172" s="24">
        <v>0</v>
      </c>
      <c r="I172" s="13"/>
      <c r="J172" s="10"/>
      <c r="K172" s="10"/>
      <c r="L172" s="52"/>
      <c r="M172" s="10" t="s">
        <v>358</v>
      </c>
      <c r="N172" s="10"/>
      <c r="O172" s="11"/>
      <c r="P172" s="71"/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</row>
    <row r="173" spans="1:28" x14ac:dyDescent="0.2">
      <c r="A173" s="33" t="s">
        <v>357</v>
      </c>
      <c r="B173" s="33">
        <v>2</v>
      </c>
      <c r="C173" s="33">
        <v>4</v>
      </c>
      <c r="D173" s="33">
        <v>1</v>
      </c>
      <c r="E173" s="33">
        <v>1</v>
      </c>
      <c r="F173" s="33">
        <v>2</v>
      </c>
      <c r="G173" s="33">
        <v>0</v>
      </c>
      <c r="H173" s="33">
        <v>0</v>
      </c>
      <c r="I173" s="19"/>
      <c r="J173" s="17"/>
      <c r="K173" s="32"/>
      <c r="L173" s="17" t="s">
        <v>356</v>
      </c>
      <c r="M173" s="17"/>
      <c r="N173" s="17"/>
      <c r="O173" s="17"/>
      <c r="P173" s="78"/>
      <c r="Q173" s="30">
        <f t="shared" ref="Q173:AB173" si="41">+Q174+Q175</f>
        <v>0</v>
      </c>
      <c r="R173" s="30">
        <f t="shared" si="41"/>
        <v>0</v>
      </c>
      <c r="S173" s="30">
        <f t="shared" si="41"/>
        <v>0</v>
      </c>
      <c r="T173" s="30">
        <f t="shared" si="41"/>
        <v>0</v>
      </c>
      <c r="U173" s="30">
        <f t="shared" si="41"/>
        <v>0</v>
      </c>
      <c r="V173" s="30">
        <f t="shared" si="41"/>
        <v>0</v>
      </c>
      <c r="W173" s="30">
        <f t="shared" si="41"/>
        <v>0</v>
      </c>
      <c r="X173" s="30">
        <f t="shared" si="41"/>
        <v>0</v>
      </c>
      <c r="Y173" s="30">
        <f t="shared" si="41"/>
        <v>0</v>
      </c>
      <c r="Z173" s="30">
        <f t="shared" si="41"/>
        <v>0</v>
      </c>
      <c r="AA173" s="30">
        <f t="shared" si="41"/>
        <v>0</v>
      </c>
      <c r="AB173" s="30">
        <f t="shared" si="41"/>
        <v>0</v>
      </c>
    </row>
    <row r="174" spans="1:28" x14ac:dyDescent="0.2">
      <c r="A174" s="24" t="s">
        <v>355</v>
      </c>
      <c r="B174" s="24">
        <v>2</v>
      </c>
      <c r="C174" s="24">
        <v>4</v>
      </c>
      <c r="D174" s="24">
        <v>1</v>
      </c>
      <c r="E174" s="24">
        <v>1</v>
      </c>
      <c r="F174" s="24">
        <v>2</v>
      </c>
      <c r="G174" s="24">
        <v>1</v>
      </c>
      <c r="H174" s="24">
        <v>0</v>
      </c>
      <c r="I174" s="13"/>
      <c r="J174" s="10"/>
      <c r="K174" s="11"/>
      <c r="L174" s="10"/>
      <c r="M174" s="10" t="s">
        <v>354</v>
      </c>
      <c r="N174" s="10"/>
      <c r="O174" s="10"/>
      <c r="P174" s="76"/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</row>
    <row r="175" spans="1:28" x14ac:dyDescent="0.2">
      <c r="A175" s="24" t="s">
        <v>353</v>
      </c>
      <c r="B175" s="24">
        <v>2</v>
      </c>
      <c r="C175" s="24">
        <v>4</v>
      </c>
      <c r="D175" s="24">
        <v>1</v>
      </c>
      <c r="E175" s="24">
        <v>1</v>
      </c>
      <c r="F175" s="24">
        <v>2</v>
      </c>
      <c r="G175" s="24">
        <v>2</v>
      </c>
      <c r="H175" s="24">
        <v>0</v>
      </c>
      <c r="I175" s="13"/>
      <c r="J175" s="10"/>
      <c r="K175" s="11"/>
      <c r="L175" s="10"/>
      <c r="M175" s="10" t="s">
        <v>352</v>
      </c>
      <c r="N175" s="77"/>
      <c r="O175" s="10"/>
      <c r="P175" s="76"/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</row>
    <row r="176" spans="1:28" x14ac:dyDescent="0.2">
      <c r="A176" s="33" t="s">
        <v>351</v>
      </c>
      <c r="B176" s="33">
        <v>2</v>
      </c>
      <c r="C176" s="33">
        <v>4</v>
      </c>
      <c r="D176" s="33">
        <v>1</v>
      </c>
      <c r="E176" s="33">
        <v>1</v>
      </c>
      <c r="F176" s="33">
        <v>3</v>
      </c>
      <c r="G176" s="33">
        <v>0</v>
      </c>
      <c r="H176" s="33">
        <v>0</v>
      </c>
      <c r="I176" s="19"/>
      <c r="J176" s="17"/>
      <c r="K176" s="32"/>
      <c r="L176" s="17" t="s">
        <v>350</v>
      </c>
      <c r="M176" s="17"/>
      <c r="N176" s="17"/>
      <c r="O176" s="17"/>
      <c r="P176" s="78"/>
      <c r="Q176" s="30">
        <f t="shared" ref="Q176:AB176" si="42">+Q177+Q178</f>
        <v>0</v>
      </c>
      <c r="R176" s="30">
        <f t="shared" si="42"/>
        <v>0</v>
      </c>
      <c r="S176" s="30">
        <f t="shared" si="42"/>
        <v>0</v>
      </c>
      <c r="T176" s="30">
        <f t="shared" si="42"/>
        <v>0</v>
      </c>
      <c r="U176" s="30">
        <f t="shared" si="42"/>
        <v>0</v>
      </c>
      <c r="V176" s="30">
        <f t="shared" si="42"/>
        <v>0</v>
      </c>
      <c r="W176" s="30">
        <f t="shared" si="42"/>
        <v>0</v>
      </c>
      <c r="X176" s="30">
        <f t="shared" si="42"/>
        <v>0</v>
      </c>
      <c r="Y176" s="30">
        <f t="shared" si="42"/>
        <v>0</v>
      </c>
      <c r="Z176" s="30">
        <f t="shared" si="42"/>
        <v>0</v>
      </c>
      <c r="AA176" s="30">
        <f t="shared" si="42"/>
        <v>0</v>
      </c>
      <c r="AB176" s="30">
        <f t="shared" si="42"/>
        <v>0</v>
      </c>
    </row>
    <row r="177" spans="1:28" x14ac:dyDescent="0.2">
      <c r="A177" s="24" t="s">
        <v>349</v>
      </c>
      <c r="B177" s="24">
        <v>2</v>
      </c>
      <c r="C177" s="24">
        <v>4</v>
      </c>
      <c r="D177" s="24">
        <v>1</v>
      </c>
      <c r="E177" s="24">
        <v>1</v>
      </c>
      <c r="F177" s="24">
        <v>3</v>
      </c>
      <c r="G177" s="24">
        <v>1</v>
      </c>
      <c r="H177" s="24">
        <v>0</v>
      </c>
      <c r="I177" s="13"/>
      <c r="J177" s="10"/>
      <c r="K177" s="11"/>
      <c r="L177" s="10"/>
      <c r="M177" s="10" t="s">
        <v>348</v>
      </c>
      <c r="N177" s="77"/>
      <c r="O177" s="10"/>
      <c r="P177" s="76"/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</row>
    <row r="178" spans="1:28" x14ac:dyDescent="0.2">
      <c r="A178" s="24" t="s">
        <v>347</v>
      </c>
      <c r="B178" s="24">
        <v>2</v>
      </c>
      <c r="C178" s="24">
        <v>4</v>
      </c>
      <c r="D178" s="24">
        <v>1</v>
      </c>
      <c r="E178" s="24">
        <v>1</v>
      </c>
      <c r="F178" s="24">
        <v>3</v>
      </c>
      <c r="G178" s="24">
        <v>2</v>
      </c>
      <c r="H178" s="24">
        <v>0</v>
      </c>
      <c r="I178" s="13"/>
      <c r="J178" s="10"/>
      <c r="K178" s="11"/>
      <c r="L178" s="10"/>
      <c r="M178" s="10" t="s">
        <v>346</v>
      </c>
      <c r="N178" s="10"/>
      <c r="O178" s="10"/>
      <c r="P178" s="76"/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</row>
    <row r="179" spans="1:28" x14ac:dyDescent="0.2">
      <c r="A179" s="24" t="s">
        <v>345</v>
      </c>
      <c r="B179" s="24">
        <v>2</v>
      </c>
      <c r="C179" s="24">
        <v>4</v>
      </c>
      <c r="D179" s="24">
        <v>1</v>
      </c>
      <c r="E179" s="24">
        <v>1</v>
      </c>
      <c r="F179" s="24">
        <v>4</v>
      </c>
      <c r="G179" s="24">
        <v>0</v>
      </c>
      <c r="H179" s="24">
        <v>0</v>
      </c>
      <c r="I179" s="13"/>
      <c r="J179" s="10"/>
      <c r="K179" s="11"/>
      <c r="L179" s="10" t="s">
        <v>344</v>
      </c>
      <c r="M179" s="11"/>
      <c r="N179" s="10"/>
      <c r="O179" s="11"/>
      <c r="P179" s="9"/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</row>
    <row r="180" spans="1:28" x14ac:dyDescent="0.2">
      <c r="A180" s="24" t="s">
        <v>343</v>
      </c>
      <c r="B180" s="24">
        <v>2</v>
      </c>
      <c r="C180" s="24">
        <v>4</v>
      </c>
      <c r="D180" s="24">
        <v>1</v>
      </c>
      <c r="E180" s="24">
        <v>1</v>
      </c>
      <c r="F180" s="24">
        <v>50</v>
      </c>
      <c r="G180" s="24">
        <v>0</v>
      </c>
      <c r="H180" s="24">
        <v>0</v>
      </c>
      <c r="I180" s="13"/>
      <c r="J180" s="10"/>
      <c r="K180" s="10" t="s">
        <v>342</v>
      </c>
      <c r="L180" s="52"/>
      <c r="M180" s="11"/>
      <c r="N180" s="10"/>
      <c r="O180" s="11"/>
      <c r="P180" s="71"/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</row>
    <row r="181" spans="1:28" x14ac:dyDescent="0.2">
      <c r="A181" s="20" t="s">
        <v>341</v>
      </c>
      <c r="B181" s="20">
        <v>2</v>
      </c>
      <c r="C181" s="20">
        <v>3</v>
      </c>
      <c r="D181" s="20">
        <v>3</v>
      </c>
      <c r="E181" s="20">
        <v>0</v>
      </c>
      <c r="F181" s="20">
        <v>0</v>
      </c>
      <c r="G181" s="20">
        <v>0</v>
      </c>
      <c r="H181" s="20">
        <v>0</v>
      </c>
      <c r="I181" s="19"/>
      <c r="J181" s="44" t="s">
        <v>340</v>
      </c>
      <c r="K181" s="32"/>
      <c r="L181" s="38"/>
      <c r="M181" s="38"/>
      <c r="N181" s="38"/>
      <c r="O181" s="38"/>
      <c r="P181" s="31"/>
      <c r="Q181" s="15">
        <f t="shared" ref="Q181:AB181" si="43">Q182+Q193</f>
        <v>0</v>
      </c>
      <c r="R181" s="15">
        <f t="shared" si="43"/>
        <v>0</v>
      </c>
      <c r="S181" s="15">
        <f t="shared" si="43"/>
        <v>0</v>
      </c>
      <c r="T181" s="15">
        <f t="shared" si="43"/>
        <v>0</v>
      </c>
      <c r="U181" s="15">
        <f t="shared" si="43"/>
        <v>0</v>
      </c>
      <c r="V181" s="15">
        <f t="shared" si="43"/>
        <v>0</v>
      </c>
      <c r="W181" s="15">
        <f t="shared" si="43"/>
        <v>0</v>
      </c>
      <c r="X181" s="15">
        <f t="shared" si="43"/>
        <v>0</v>
      </c>
      <c r="Y181" s="15">
        <f t="shared" si="43"/>
        <v>0</v>
      </c>
      <c r="Z181" s="15">
        <f t="shared" si="43"/>
        <v>0</v>
      </c>
      <c r="AA181" s="15">
        <f t="shared" si="43"/>
        <v>0</v>
      </c>
      <c r="AB181" s="15">
        <f t="shared" si="43"/>
        <v>0</v>
      </c>
    </row>
    <row r="182" spans="1:28" x14ac:dyDescent="0.2">
      <c r="A182" s="33" t="s">
        <v>339</v>
      </c>
      <c r="B182" s="33">
        <v>2</v>
      </c>
      <c r="C182" s="33">
        <v>3</v>
      </c>
      <c r="D182" s="33">
        <v>3</v>
      </c>
      <c r="E182" s="33">
        <v>1</v>
      </c>
      <c r="F182" s="33">
        <v>0</v>
      </c>
      <c r="G182" s="33">
        <v>0</v>
      </c>
      <c r="H182" s="33">
        <v>0</v>
      </c>
      <c r="I182" s="70"/>
      <c r="J182" s="75"/>
      <c r="K182" s="17" t="s">
        <v>338</v>
      </c>
      <c r="L182" s="32"/>
      <c r="M182" s="17"/>
      <c r="N182" s="17"/>
      <c r="O182" s="17"/>
      <c r="P182" s="74"/>
      <c r="Q182" s="30">
        <f t="shared" ref="Q182:AB182" si="44">+Q183+Q184+Q185+Q186+Q187+Q188+Q189</f>
        <v>0</v>
      </c>
      <c r="R182" s="30">
        <f t="shared" si="44"/>
        <v>0</v>
      </c>
      <c r="S182" s="30">
        <f t="shared" si="44"/>
        <v>0</v>
      </c>
      <c r="T182" s="30">
        <f t="shared" si="44"/>
        <v>0</v>
      </c>
      <c r="U182" s="30">
        <f t="shared" si="44"/>
        <v>0</v>
      </c>
      <c r="V182" s="30">
        <f t="shared" si="44"/>
        <v>0</v>
      </c>
      <c r="W182" s="30">
        <f t="shared" si="44"/>
        <v>0</v>
      </c>
      <c r="X182" s="30">
        <f t="shared" si="44"/>
        <v>0</v>
      </c>
      <c r="Y182" s="30">
        <f t="shared" si="44"/>
        <v>0</v>
      </c>
      <c r="Z182" s="30">
        <f t="shared" si="44"/>
        <v>0</v>
      </c>
      <c r="AA182" s="30">
        <f t="shared" si="44"/>
        <v>0</v>
      </c>
      <c r="AB182" s="30">
        <f t="shared" si="44"/>
        <v>0</v>
      </c>
    </row>
    <row r="183" spans="1:28" x14ac:dyDescent="0.2">
      <c r="A183" s="24" t="s">
        <v>337</v>
      </c>
      <c r="B183" s="24">
        <v>2</v>
      </c>
      <c r="C183" s="24">
        <v>3</v>
      </c>
      <c r="D183" s="24">
        <v>3</v>
      </c>
      <c r="E183" s="24">
        <v>1</v>
      </c>
      <c r="F183" s="24">
        <v>1</v>
      </c>
      <c r="G183" s="24">
        <v>0</v>
      </c>
      <c r="H183" s="24">
        <v>0</v>
      </c>
      <c r="I183" s="51"/>
      <c r="J183" s="73"/>
      <c r="K183" s="10"/>
      <c r="L183" s="10" t="s">
        <v>321</v>
      </c>
      <c r="M183" s="11"/>
      <c r="N183" s="10"/>
      <c r="O183" s="10"/>
      <c r="P183" s="72"/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</row>
    <row r="184" spans="1:28" x14ac:dyDescent="0.2">
      <c r="A184" s="24" t="s">
        <v>336</v>
      </c>
      <c r="B184" s="24">
        <v>2</v>
      </c>
      <c r="C184" s="24">
        <v>3</v>
      </c>
      <c r="D184" s="24">
        <v>3</v>
      </c>
      <c r="E184" s="24">
        <v>1</v>
      </c>
      <c r="F184" s="24">
        <v>2</v>
      </c>
      <c r="G184" s="24">
        <v>0</v>
      </c>
      <c r="H184" s="24">
        <v>0</v>
      </c>
      <c r="I184" s="13"/>
      <c r="J184" s="12"/>
      <c r="K184" s="62"/>
      <c r="L184" s="10" t="s">
        <v>335</v>
      </c>
      <c r="M184" s="11"/>
      <c r="N184" s="10"/>
      <c r="O184" s="10"/>
      <c r="P184" s="71"/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</row>
    <row r="185" spans="1:28" x14ac:dyDescent="0.2">
      <c r="A185" s="24" t="s">
        <v>334</v>
      </c>
      <c r="B185" s="24">
        <v>2</v>
      </c>
      <c r="C185" s="24">
        <v>3</v>
      </c>
      <c r="D185" s="24">
        <v>3</v>
      </c>
      <c r="E185" s="24">
        <v>1</v>
      </c>
      <c r="F185" s="24">
        <v>3</v>
      </c>
      <c r="G185" s="24">
        <v>0</v>
      </c>
      <c r="H185" s="24">
        <v>0</v>
      </c>
      <c r="I185" s="13"/>
      <c r="J185" s="12"/>
      <c r="K185" s="62"/>
      <c r="L185" s="10" t="s">
        <v>317</v>
      </c>
      <c r="M185" s="11"/>
      <c r="N185" s="10"/>
      <c r="O185" s="10"/>
      <c r="P185" s="72"/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</row>
    <row r="186" spans="1:28" x14ac:dyDescent="0.2">
      <c r="A186" s="24" t="s">
        <v>333</v>
      </c>
      <c r="B186" s="24">
        <v>2</v>
      </c>
      <c r="C186" s="24">
        <v>3</v>
      </c>
      <c r="D186" s="24">
        <v>3</v>
      </c>
      <c r="E186" s="24">
        <v>1</v>
      </c>
      <c r="F186" s="24">
        <v>4</v>
      </c>
      <c r="G186" s="24">
        <v>0</v>
      </c>
      <c r="H186" s="24">
        <v>0</v>
      </c>
      <c r="I186" s="13"/>
      <c r="J186" s="12"/>
      <c r="K186" s="62"/>
      <c r="L186" s="10" t="s">
        <v>332</v>
      </c>
      <c r="M186" s="11"/>
      <c r="N186" s="60"/>
      <c r="O186" s="10"/>
      <c r="P186" s="72"/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</row>
    <row r="187" spans="1:28" x14ac:dyDescent="0.2">
      <c r="A187" s="24" t="s">
        <v>331</v>
      </c>
      <c r="B187" s="24">
        <v>2</v>
      </c>
      <c r="C187" s="24">
        <v>3</v>
      </c>
      <c r="D187" s="24">
        <v>3</v>
      </c>
      <c r="E187" s="24">
        <v>1</v>
      </c>
      <c r="F187" s="24">
        <v>5</v>
      </c>
      <c r="G187" s="24">
        <v>0</v>
      </c>
      <c r="H187" s="24">
        <v>0</v>
      </c>
      <c r="I187" s="13"/>
      <c r="J187" s="12"/>
      <c r="K187" s="62"/>
      <c r="L187" s="10" t="s">
        <v>315</v>
      </c>
      <c r="M187" s="11"/>
      <c r="N187" s="67"/>
      <c r="O187" s="10"/>
      <c r="P187" s="71"/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</row>
    <row r="188" spans="1:28" x14ac:dyDescent="0.2">
      <c r="A188" s="24" t="s">
        <v>330</v>
      </c>
      <c r="B188" s="24">
        <v>2</v>
      </c>
      <c r="C188" s="24">
        <v>3</v>
      </c>
      <c r="D188" s="24">
        <v>3</v>
      </c>
      <c r="E188" s="24">
        <v>1</v>
      </c>
      <c r="F188" s="24">
        <v>6</v>
      </c>
      <c r="G188" s="24">
        <v>0</v>
      </c>
      <c r="H188" s="24">
        <v>0</v>
      </c>
      <c r="I188" s="13"/>
      <c r="J188" s="12"/>
      <c r="K188" s="62"/>
      <c r="L188" s="10" t="s">
        <v>313</v>
      </c>
      <c r="M188" s="11"/>
      <c r="N188" s="10"/>
      <c r="O188" s="10"/>
      <c r="P188" s="71"/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</row>
    <row r="189" spans="1:28" x14ac:dyDescent="0.2">
      <c r="A189" s="33" t="s">
        <v>329</v>
      </c>
      <c r="B189" s="33">
        <v>2</v>
      </c>
      <c r="C189" s="33">
        <v>3</v>
      </c>
      <c r="D189" s="33">
        <v>3</v>
      </c>
      <c r="E189" s="33">
        <v>1</v>
      </c>
      <c r="F189" s="33">
        <v>8</v>
      </c>
      <c r="G189" s="33">
        <v>0</v>
      </c>
      <c r="H189" s="33">
        <v>0</v>
      </c>
      <c r="I189" s="19"/>
      <c r="J189" s="26"/>
      <c r="K189" s="38"/>
      <c r="L189" s="17" t="s">
        <v>325</v>
      </c>
      <c r="M189" s="32"/>
      <c r="N189" s="17"/>
      <c r="O189" s="17"/>
      <c r="P189" s="31"/>
      <c r="Q189" s="30">
        <f t="shared" ref="Q189:AB189" si="45">+Q190+Q191+Q192</f>
        <v>0</v>
      </c>
      <c r="R189" s="30">
        <f t="shared" si="45"/>
        <v>0</v>
      </c>
      <c r="S189" s="30">
        <f t="shared" si="45"/>
        <v>0</v>
      </c>
      <c r="T189" s="30">
        <f t="shared" si="45"/>
        <v>0</v>
      </c>
      <c r="U189" s="30">
        <f t="shared" si="45"/>
        <v>0</v>
      </c>
      <c r="V189" s="30">
        <f t="shared" si="45"/>
        <v>0</v>
      </c>
      <c r="W189" s="30">
        <f t="shared" si="45"/>
        <v>0</v>
      </c>
      <c r="X189" s="30">
        <f t="shared" si="45"/>
        <v>0</v>
      </c>
      <c r="Y189" s="30">
        <f t="shared" si="45"/>
        <v>0</v>
      </c>
      <c r="Z189" s="30">
        <f t="shared" si="45"/>
        <v>0</v>
      </c>
      <c r="AA189" s="30">
        <f t="shared" si="45"/>
        <v>0</v>
      </c>
      <c r="AB189" s="30">
        <f t="shared" si="45"/>
        <v>0</v>
      </c>
    </row>
    <row r="190" spans="1:28" x14ac:dyDescent="0.2">
      <c r="A190" s="24" t="s">
        <v>328</v>
      </c>
      <c r="B190" s="24">
        <v>2</v>
      </c>
      <c r="C190" s="24">
        <v>3</v>
      </c>
      <c r="D190" s="24">
        <v>3</v>
      </c>
      <c r="E190" s="24">
        <v>1</v>
      </c>
      <c r="F190" s="24">
        <v>8</v>
      </c>
      <c r="G190" s="24">
        <v>1</v>
      </c>
      <c r="H190" s="24">
        <v>0</v>
      </c>
      <c r="I190" s="13"/>
      <c r="J190" s="12"/>
      <c r="K190" s="62"/>
      <c r="L190" s="10"/>
      <c r="M190" s="10" t="s">
        <v>310</v>
      </c>
      <c r="N190" s="10"/>
      <c r="O190" s="10"/>
      <c r="P190" s="71"/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</row>
    <row r="191" spans="1:28" x14ac:dyDescent="0.2">
      <c r="A191" s="24" t="s">
        <v>327</v>
      </c>
      <c r="B191" s="24">
        <v>2</v>
      </c>
      <c r="C191" s="24">
        <v>3</v>
      </c>
      <c r="D191" s="24">
        <v>3</v>
      </c>
      <c r="E191" s="24">
        <v>1</v>
      </c>
      <c r="F191" s="24">
        <v>8</v>
      </c>
      <c r="G191" s="24">
        <v>2</v>
      </c>
      <c r="H191" s="24">
        <v>0</v>
      </c>
      <c r="I191" s="13"/>
      <c r="J191" s="12"/>
      <c r="K191" s="62"/>
      <c r="L191" s="10"/>
      <c r="M191" s="10" t="s">
        <v>308</v>
      </c>
      <c r="N191" s="10"/>
      <c r="O191" s="10"/>
      <c r="P191" s="71"/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</row>
    <row r="192" spans="1:28" x14ac:dyDescent="0.2">
      <c r="A192" s="24" t="s">
        <v>326</v>
      </c>
      <c r="B192" s="24">
        <v>2</v>
      </c>
      <c r="C192" s="24">
        <v>3</v>
      </c>
      <c r="D192" s="24">
        <v>3</v>
      </c>
      <c r="E192" s="24">
        <v>1</v>
      </c>
      <c r="F192" s="24">
        <v>8</v>
      </c>
      <c r="G192" s="24">
        <v>50</v>
      </c>
      <c r="H192" s="24">
        <v>0</v>
      </c>
      <c r="I192" s="13"/>
      <c r="J192" s="12"/>
      <c r="K192" s="62"/>
      <c r="L192" s="10"/>
      <c r="M192" s="10" t="s">
        <v>325</v>
      </c>
      <c r="N192" s="10"/>
      <c r="O192" s="10"/>
      <c r="P192" s="71"/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</row>
    <row r="193" spans="1:28" x14ac:dyDescent="0.2">
      <c r="A193" s="33" t="s">
        <v>324</v>
      </c>
      <c r="B193" s="33">
        <v>2</v>
      </c>
      <c r="C193" s="33">
        <v>3</v>
      </c>
      <c r="D193" s="33">
        <v>3</v>
      </c>
      <c r="E193" s="33">
        <v>2</v>
      </c>
      <c r="F193" s="33">
        <v>0</v>
      </c>
      <c r="G193" s="33">
        <v>0</v>
      </c>
      <c r="H193" s="33">
        <v>0</v>
      </c>
      <c r="I193" s="70"/>
      <c r="J193" s="26"/>
      <c r="K193" s="17" t="s">
        <v>323</v>
      </c>
      <c r="L193" s="32"/>
      <c r="M193" s="17"/>
      <c r="N193" s="17"/>
      <c r="O193" s="17"/>
      <c r="P193" s="16"/>
      <c r="Q193" s="30">
        <f t="shared" ref="Q193:AB193" si="46">+Q194+Q195+Q196+Q197+Q198+Q199</f>
        <v>0</v>
      </c>
      <c r="R193" s="30">
        <f t="shared" si="46"/>
        <v>0</v>
      </c>
      <c r="S193" s="30">
        <f t="shared" si="46"/>
        <v>0</v>
      </c>
      <c r="T193" s="30">
        <f t="shared" si="46"/>
        <v>0</v>
      </c>
      <c r="U193" s="30">
        <f t="shared" si="46"/>
        <v>0</v>
      </c>
      <c r="V193" s="30">
        <f t="shared" si="46"/>
        <v>0</v>
      </c>
      <c r="W193" s="30">
        <f t="shared" si="46"/>
        <v>0</v>
      </c>
      <c r="X193" s="30">
        <f t="shared" si="46"/>
        <v>0</v>
      </c>
      <c r="Y193" s="30">
        <f t="shared" si="46"/>
        <v>0</v>
      </c>
      <c r="Z193" s="30">
        <f t="shared" si="46"/>
        <v>0</v>
      </c>
      <c r="AA193" s="30">
        <f t="shared" si="46"/>
        <v>0</v>
      </c>
      <c r="AB193" s="30">
        <f t="shared" si="46"/>
        <v>0</v>
      </c>
    </row>
    <row r="194" spans="1:28" x14ac:dyDescent="0.2">
      <c r="A194" s="24" t="s">
        <v>322</v>
      </c>
      <c r="B194" s="24">
        <v>2</v>
      </c>
      <c r="C194" s="24">
        <v>3</v>
      </c>
      <c r="D194" s="24">
        <v>3</v>
      </c>
      <c r="E194" s="24">
        <v>2</v>
      </c>
      <c r="F194" s="24">
        <v>1</v>
      </c>
      <c r="G194" s="24">
        <v>0</v>
      </c>
      <c r="H194" s="24">
        <v>0</v>
      </c>
      <c r="I194" s="51"/>
      <c r="J194" s="12"/>
      <c r="K194" s="10"/>
      <c r="L194" s="10" t="s">
        <v>321</v>
      </c>
      <c r="M194" s="11"/>
      <c r="N194" s="10"/>
      <c r="O194" s="10"/>
      <c r="P194" s="9"/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</row>
    <row r="195" spans="1:28" x14ac:dyDescent="0.2">
      <c r="A195" s="24" t="s">
        <v>320</v>
      </c>
      <c r="B195" s="24">
        <v>2</v>
      </c>
      <c r="C195" s="24">
        <v>3</v>
      </c>
      <c r="D195" s="24">
        <v>3</v>
      </c>
      <c r="E195" s="24">
        <v>2</v>
      </c>
      <c r="F195" s="24">
        <v>2</v>
      </c>
      <c r="G195" s="24">
        <v>0</v>
      </c>
      <c r="H195" s="24">
        <v>0</v>
      </c>
      <c r="I195" s="51"/>
      <c r="J195" s="12"/>
      <c r="K195" s="10"/>
      <c r="L195" s="69" t="s">
        <v>319</v>
      </c>
      <c r="M195" s="11"/>
      <c r="N195" s="10"/>
      <c r="O195" s="62"/>
      <c r="P195" s="9"/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</row>
    <row r="196" spans="1:28" x14ac:dyDescent="0.2">
      <c r="A196" s="24" t="s">
        <v>318</v>
      </c>
      <c r="B196" s="24">
        <v>2</v>
      </c>
      <c r="C196" s="24">
        <v>3</v>
      </c>
      <c r="D196" s="24">
        <v>3</v>
      </c>
      <c r="E196" s="24">
        <v>2</v>
      </c>
      <c r="F196" s="24">
        <v>3</v>
      </c>
      <c r="G196" s="24">
        <v>0</v>
      </c>
      <c r="H196" s="24">
        <v>0</v>
      </c>
      <c r="I196" s="51"/>
      <c r="J196" s="12"/>
      <c r="K196" s="10"/>
      <c r="L196" s="10" t="s">
        <v>317</v>
      </c>
      <c r="M196" s="11"/>
      <c r="N196" s="10"/>
      <c r="O196" s="10"/>
      <c r="P196" s="9"/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</row>
    <row r="197" spans="1:28" x14ac:dyDescent="0.2">
      <c r="A197" s="24" t="s">
        <v>316</v>
      </c>
      <c r="B197" s="24">
        <v>2</v>
      </c>
      <c r="C197" s="24">
        <v>3</v>
      </c>
      <c r="D197" s="24">
        <v>3</v>
      </c>
      <c r="E197" s="24">
        <v>2</v>
      </c>
      <c r="F197" s="24">
        <v>4</v>
      </c>
      <c r="G197" s="24">
        <v>0</v>
      </c>
      <c r="H197" s="24">
        <v>0</v>
      </c>
      <c r="I197" s="51"/>
      <c r="J197" s="12"/>
      <c r="K197" s="10"/>
      <c r="L197" s="10" t="s">
        <v>315</v>
      </c>
      <c r="M197" s="11"/>
      <c r="N197" s="10"/>
      <c r="O197" s="62"/>
      <c r="P197" s="9"/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</row>
    <row r="198" spans="1:28" x14ac:dyDescent="0.2">
      <c r="A198" s="24" t="s">
        <v>314</v>
      </c>
      <c r="B198" s="24">
        <v>2</v>
      </c>
      <c r="C198" s="24">
        <v>3</v>
      </c>
      <c r="D198" s="24">
        <v>3</v>
      </c>
      <c r="E198" s="24">
        <v>2</v>
      </c>
      <c r="F198" s="24">
        <v>5</v>
      </c>
      <c r="G198" s="24">
        <v>0</v>
      </c>
      <c r="H198" s="24">
        <v>0</v>
      </c>
      <c r="I198" s="13"/>
      <c r="J198" s="12"/>
      <c r="K198" s="62"/>
      <c r="L198" s="10" t="s">
        <v>313</v>
      </c>
      <c r="M198" s="11"/>
      <c r="N198" s="10"/>
      <c r="O198" s="62"/>
      <c r="P198" s="9"/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</row>
    <row r="199" spans="1:28" x14ac:dyDescent="0.2">
      <c r="A199" s="33" t="s">
        <v>312</v>
      </c>
      <c r="B199" s="33">
        <v>2</v>
      </c>
      <c r="C199" s="33">
        <v>3</v>
      </c>
      <c r="D199" s="33">
        <v>3</v>
      </c>
      <c r="E199" s="33">
        <v>2</v>
      </c>
      <c r="F199" s="33">
        <v>7</v>
      </c>
      <c r="G199" s="33">
        <v>0</v>
      </c>
      <c r="H199" s="33">
        <v>0</v>
      </c>
      <c r="I199" s="19"/>
      <c r="J199" s="26"/>
      <c r="K199" s="38"/>
      <c r="L199" s="17" t="s">
        <v>306</v>
      </c>
      <c r="M199" s="32"/>
      <c r="N199" s="17"/>
      <c r="O199" s="38"/>
      <c r="P199" s="16"/>
      <c r="Q199" s="30">
        <f t="shared" ref="Q199:AB199" si="47">+Q200+Q201+Q202</f>
        <v>0</v>
      </c>
      <c r="R199" s="30">
        <f t="shared" si="47"/>
        <v>0</v>
      </c>
      <c r="S199" s="30">
        <f t="shared" si="47"/>
        <v>0</v>
      </c>
      <c r="T199" s="30">
        <f t="shared" si="47"/>
        <v>0</v>
      </c>
      <c r="U199" s="30">
        <f t="shared" si="47"/>
        <v>0</v>
      </c>
      <c r="V199" s="30">
        <f t="shared" si="47"/>
        <v>0</v>
      </c>
      <c r="W199" s="30">
        <f t="shared" si="47"/>
        <v>0</v>
      </c>
      <c r="X199" s="30">
        <f t="shared" si="47"/>
        <v>0</v>
      </c>
      <c r="Y199" s="30">
        <f t="shared" si="47"/>
        <v>0</v>
      </c>
      <c r="Z199" s="30">
        <f t="shared" si="47"/>
        <v>0</v>
      </c>
      <c r="AA199" s="30">
        <f t="shared" si="47"/>
        <v>0</v>
      </c>
      <c r="AB199" s="30">
        <f t="shared" si="47"/>
        <v>0</v>
      </c>
    </row>
    <row r="200" spans="1:28" x14ac:dyDescent="0.2">
      <c r="A200" s="24" t="s">
        <v>311</v>
      </c>
      <c r="B200" s="24">
        <v>2</v>
      </c>
      <c r="C200" s="24">
        <v>3</v>
      </c>
      <c r="D200" s="24">
        <v>3</v>
      </c>
      <c r="E200" s="24">
        <v>2</v>
      </c>
      <c r="F200" s="24">
        <v>7</v>
      </c>
      <c r="G200" s="24">
        <v>1</v>
      </c>
      <c r="H200" s="24">
        <v>0</v>
      </c>
      <c r="I200" s="13"/>
      <c r="J200" s="12"/>
      <c r="K200" s="62"/>
      <c r="L200" s="10"/>
      <c r="M200" s="10" t="s">
        <v>310</v>
      </c>
      <c r="N200" s="10"/>
      <c r="O200" s="62"/>
      <c r="P200" s="9"/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</row>
    <row r="201" spans="1:28" x14ac:dyDescent="0.2">
      <c r="A201" s="24" t="s">
        <v>309</v>
      </c>
      <c r="B201" s="24">
        <v>2</v>
      </c>
      <c r="C201" s="24">
        <v>3</v>
      </c>
      <c r="D201" s="24">
        <v>3</v>
      </c>
      <c r="E201" s="24">
        <v>2</v>
      </c>
      <c r="F201" s="24">
        <v>7</v>
      </c>
      <c r="G201" s="24">
        <v>2</v>
      </c>
      <c r="H201" s="24">
        <v>0</v>
      </c>
      <c r="I201" s="13"/>
      <c r="J201" s="12"/>
      <c r="K201" s="62"/>
      <c r="L201" s="10"/>
      <c r="M201" s="10" t="s">
        <v>308</v>
      </c>
      <c r="N201" s="10"/>
      <c r="O201" s="62"/>
      <c r="P201" s="9"/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</row>
    <row r="202" spans="1:28" x14ac:dyDescent="0.2">
      <c r="A202" s="24" t="s">
        <v>307</v>
      </c>
      <c r="B202" s="24">
        <v>2</v>
      </c>
      <c r="C202" s="24">
        <v>3</v>
      </c>
      <c r="D202" s="24">
        <v>3</v>
      </c>
      <c r="E202" s="24">
        <v>2</v>
      </c>
      <c r="F202" s="24">
        <v>7</v>
      </c>
      <c r="G202" s="24">
        <v>50</v>
      </c>
      <c r="H202" s="24">
        <v>0</v>
      </c>
      <c r="I202" s="13"/>
      <c r="J202" s="12"/>
      <c r="K202" s="62"/>
      <c r="L202" s="10"/>
      <c r="M202" s="10" t="s">
        <v>306</v>
      </c>
      <c r="N202" s="10"/>
      <c r="O202" s="62"/>
      <c r="P202" s="9"/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</row>
    <row r="203" spans="1:28" x14ac:dyDescent="0.2">
      <c r="A203" s="20" t="s">
        <v>305</v>
      </c>
      <c r="B203" s="20">
        <v>2</v>
      </c>
      <c r="C203" s="20">
        <v>3</v>
      </c>
      <c r="D203" s="20">
        <v>4</v>
      </c>
      <c r="E203" s="20">
        <v>0</v>
      </c>
      <c r="F203" s="20">
        <v>0</v>
      </c>
      <c r="G203" s="20">
        <v>0</v>
      </c>
      <c r="H203" s="20">
        <v>0</v>
      </c>
      <c r="I203" s="28"/>
      <c r="J203" s="44" t="s">
        <v>304</v>
      </c>
      <c r="K203" s="32"/>
      <c r="L203" s="53"/>
      <c r="M203" s="53"/>
      <c r="N203" s="53"/>
      <c r="O203" s="53"/>
      <c r="P203" s="16"/>
      <c r="Q203" s="15">
        <f t="shared" ref="Q203:AB203" si="48">+Q204+Q205</f>
        <v>0</v>
      </c>
      <c r="R203" s="15">
        <f t="shared" si="48"/>
        <v>0</v>
      </c>
      <c r="S203" s="15">
        <f t="shared" si="48"/>
        <v>0</v>
      </c>
      <c r="T203" s="15">
        <f t="shared" si="48"/>
        <v>52672.13</v>
      </c>
      <c r="U203" s="15">
        <f t="shared" si="48"/>
        <v>39085</v>
      </c>
      <c r="V203" s="15">
        <f t="shared" si="48"/>
        <v>20119</v>
      </c>
      <c r="W203" s="15">
        <f t="shared" si="48"/>
        <v>46824</v>
      </c>
      <c r="X203" s="15">
        <f t="shared" si="48"/>
        <v>0</v>
      </c>
      <c r="Y203" s="15">
        <f t="shared" si="48"/>
        <v>0</v>
      </c>
      <c r="Z203" s="15">
        <f t="shared" si="48"/>
        <v>89981</v>
      </c>
      <c r="AA203" s="15">
        <f t="shared" si="48"/>
        <v>145643</v>
      </c>
      <c r="AB203" s="15">
        <f t="shared" si="48"/>
        <v>391760.24</v>
      </c>
    </row>
    <row r="204" spans="1:28" x14ac:dyDescent="0.2">
      <c r="A204" s="24" t="s">
        <v>303</v>
      </c>
      <c r="B204" s="24">
        <v>2</v>
      </c>
      <c r="C204" s="24">
        <v>3</v>
      </c>
      <c r="D204" s="24">
        <v>4</v>
      </c>
      <c r="E204" s="24">
        <v>1</v>
      </c>
      <c r="F204" s="24">
        <v>0</v>
      </c>
      <c r="G204" s="24">
        <v>0</v>
      </c>
      <c r="H204" s="24">
        <v>0</v>
      </c>
      <c r="I204" s="23"/>
      <c r="J204" s="61"/>
      <c r="K204" s="10" t="s">
        <v>138</v>
      </c>
      <c r="L204" s="61"/>
      <c r="M204" s="61"/>
      <c r="N204" s="10"/>
      <c r="O204" s="11"/>
      <c r="P204" s="9"/>
      <c r="Q204" s="8">
        <v>0</v>
      </c>
      <c r="R204" s="8">
        <v>0</v>
      </c>
      <c r="S204" s="8">
        <v>0</v>
      </c>
      <c r="T204" s="8">
        <v>52672.13</v>
      </c>
      <c r="U204" s="8">
        <v>39085</v>
      </c>
      <c r="V204" s="8">
        <v>20119</v>
      </c>
      <c r="W204" s="8">
        <v>46824</v>
      </c>
      <c r="X204" s="8">
        <v>0</v>
      </c>
      <c r="Y204" s="8">
        <v>0</v>
      </c>
      <c r="Z204" s="8">
        <v>89981</v>
      </c>
      <c r="AA204" s="8">
        <v>145643</v>
      </c>
      <c r="AB204" s="8">
        <v>391760.24</v>
      </c>
    </row>
    <row r="205" spans="1:28" x14ac:dyDescent="0.2">
      <c r="A205" s="24" t="s">
        <v>302</v>
      </c>
      <c r="B205" s="24">
        <v>2</v>
      </c>
      <c r="C205" s="24">
        <v>3</v>
      </c>
      <c r="D205" s="24">
        <v>4</v>
      </c>
      <c r="E205" s="24">
        <v>2</v>
      </c>
      <c r="F205" s="24">
        <v>0</v>
      </c>
      <c r="G205" s="24">
        <v>0</v>
      </c>
      <c r="H205" s="24">
        <v>0</v>
      </c>
      <c r="I205" s="23"/>
      <c r="J205" s="10"/>
      <c r="K205" s="10" t="s">
        <v>136</v>
      </c>
      <c r="L205" s="61"/>
      <c r="M205" s="61"/>
      <c r="N205" s="10"/>
      <c r="O205" s="11"/>
      <c r="P205" s="9"/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</row>
    <row r="206" spans="1:28" x14ac:dyDescent="0.2">
      <c r="A206" s="20" t="s">
        <v>301</v>
      </c>
      <c r="B206" s="20">
        <v>2</v>
      </c>
      <c r="C206" s="20">
        <v>3</v>
      </c>
      <c r="D206" s="20">
        <v>5</v>
      </c>
      <c r="E206" s="20">
        <v>0</v>
      </c>
      <c r="F206" s="20">
        <v>0</v>
      </c>
      <c r="G206" s="20">
        <v>0</v>
      </c>
      <c r="H206" s="20">
        <v>0</v>
      </c>
      <c r="I206" s="28"/>
      <c r="J206" s="26" t="s">
        <v>300</v>
      </c>
      <c r="K206" s="68"/>
      <c r="L206" s="68"/>
      <c r="M206" s="32"/>
      <c r="N206" s="17"/>
      <c r="O206" s="17"/>
      <c r="P206" s="16"/>
      <c r="Q206" s="15">
        <f t="shared" ref="Q206:AB206" si="49">+Q207+Q208</f>
        <v>9802844</v>
      </c>
      <c r="R206" s="15">
        <f t="shared" si="49"/>
        <v>9999674</v>
      </c>
      <c r="S206" s="15">
        <f t="shared" si="49"/>
        <v>18264648</v>
      </c>
      <c r="T206" s="15">
        <f t="shared" si="49"/>
        <v>18059129</v>
      </c>
      <c r="U206" s="15">
        <f t="shared" si="49"/>
        <v>6481493</v>
      </c>
      <c r="V206" s="15">
        <f t="shared" si="49"/>
        <v>5213508</v>
      </c>
      <c r="W206" s="15">
        <f t="shared" si="49"/>
        <v>25209659</v>
      </c>
      <c r="X206" s="15">
        <f t="shared" si="49"/>
        <v>34021390.880000003</v>
      </c>
      <c r="Y206" s="15">
        <f t="shared" si="49"/>
        <v>8890056.1999999993</v>
      </c>
      <c r="Z206" s="15">
        <f t="shared" si="49"/>
        <v>8665459.6599999908</v>
      </c>
      <c r="AA206" s="15">
        <f t="shared" si="49"/>
        <v>11400737</v>
      </c>
      <c r="AB206" s="15">
        <f t="shared" si="49"/>
        <v>22528203.57</v>
      </c>
    </row>
    <row r="207" spans="1:28" x14ac:dyDescent="0.2">
      <c r="A207" s="24" t="s">
        <v>299</v>
      </c>
      <c r="B207" s="24">
        <v>2</v>
      </c>
      <c r="C207" s="24">
        <v>3</v>
      </c>
      <c r="D207" s="24">
        <v>5</v>
      </c>
      <c r="E207" s="24">
        <v>1</v>
      </c>
      <c r="F207" s="24">
        <v>0</v>
      </c>
      <c r="G207" s="24">
        <v>0</v>
      </c>
      <c r="H207" s="24">
        <v>0</v>
      </c>
      <c r="I207" s="23"/>
      <c r="J207" s="61"/>
      <c r="K207" s="10" t="s">
        <v>64</v>
      </c>
      <c r="L207" s="10"/>
      <c r="M207" s="11"/>
      <c r="N207" s="10"/>
      <c r="O207" s="10"/>
      <c r="P207" s="9"/>
      <c r="Q207" s="8">
        <v>9802844</v>
      </c>
      <c r="R207" s="8">
        <v>9999674</v>
      </c>
      <c r="S207" s="8">
        <v>18264648</v>
      </c>
      <c r="T207" s="8">
        <v>18059129</v>
      </c>
      <c r="U207" s="8">
        <v>6481493</v>
      </c>
      <c r="V207" s="8">
        <v>5213508</v>
      </c>
      <c r="W207" s="8">
        <v>25209659</v>
      </c>
      <c r="X207" s="8">
        <v>34021390.880000003</v>
      </c>
      <c r="Y207" s="8">
        <v>8890056.1999999993</v>
      </c>
      <c r="Z207" s="8">
        <v>8665459.6599999908</v>
      </c>
      <c r="AA207" s="8">
        <v>11400737</v>
      </c>
      <c r="AB207" s="8">
        <v>22528203.57</v>
      </c>
    </row>
    <row r="208" spans="1:28" x14ac:dyDescent="0.2">
      <c r="A208" s="33" t="s">
        <v>298</v>
      </c>
      <c r="B208" s="33">
        <v>2</v>
      </c>
      <c r="C208" s="33">
        <v>3</v>
      </c>
      <c r="D208" s="33">
        <v>5</v>
      </c>
      <c r="E208" s="33">
        <v>2</v>
      </c>
      <c r="F208" s="33">
        <v>0</v>
      </c>
      <c r="G208" s="33">
        <v>0</v>
      </c>
      <c r="H208" s="33">
        <v>0</v>
      </c>
      <c r="I208" s="28"/>
      <c r="J208" s="68"/>
      <c r="K208" s="17" t="s">
        <v>297</v>
      </c>
      <c r="L208" s="17"/>
      <c r="M208" s="32"/>
      <c r="N208" s="17"/>
      <c r="O208" s="17"/>
      <c r="P208" s="16"/>
      <c r="Q208" s="30">
        <f t="shared" ref="Q208:AB208" si="50">+Q209+Q210+Q211+Q214+Q215</f>
        <v>0</v>
      </c>
      <c r="R208" s="30">
        <f t="shared" si="50"/>
        <v>0</v>
      </c>
      <c r="S208" s="30">
        <f t="shared" si="50"/>
        <v>0</v>
      </c>
      <c r="T208" s="30">
        <f t="shared" si="50"/>
        <v>0</v>
      </c>
      <c r="U208" s="30">
        <f t="shared" si="50"/>
        <v>0</v>
      </c>
      <c r="V208" s="30">
        <f t="shared" si="50"/>
        <v>0</v>
      </c>
      <c r="W208" s="30">
        <f t="shared" si="50"/>
        <v>0</v>
      </c>
      <c r="X208" s="30">
        <f t="shared" si="50"/>
        <v>0</v>
      </c>
      <c r="Y208" s="30">
        <f t="shared" si="50"/>
        <v>0</v>
      </c>
      <c r="Z208" s="30">
        <f t="shared" si="50"/>
        <v>0</v>
      </c>
      <c r="AA208" s="30">
        <f t="shared" si="50"/>
        <v>0</v>
      </c>
      <c r="AB208" s="30">
        <f t="shared" si="50"/>
        <v>0</v>
      </c>
    </row>
    <row r="209" spans="1:28" x14ac:dyDescent="0.2">
      <c r="A209" s="24" t="s">
        <v>296</v>
      </c>
      <c r="B209" s="24">
        <v>2</v>
      </c>
      <c r="C209" s="24">
        <v>3</v>
      </c>
      <c r="D209" s="24">
        <v>5</v>
      </c>
      <c r="E209" s="24">
        <v>2</v>
      </c>
      <c r="F209" s="24">
        <v>2</v>
      </c>
      <c r="G209" s="24">
        <v>0</v>
      </c>
      <c r="H209" s="24">
        <v>0</v>
      </c>
      <c r="I209" s="23"/>
      <c r="J209" s="10"/>
      <c r="K209" s="10"/>
      <c r="L209" s="10" t="s">
        <v>295</v>
      </c>
      <c r="M209" s="11"/>
      <c r="N209" s="10"/>
      <c r="O209" s="10"/>
      <c r="P209" s="54"/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</row>
    <row r="210" spans="1:28" x14ac:dyDescent="0.2">
      <c r="A210" s="24" t="s">
        <v>294</v>
      </c>
      <c r="B210" s="24">
        <v>2</v>
      </c>
      <c r="C210" s="24">
        <v>3</v>
      </c>
      <c r="D210" s="24">
        <v>5</v>
      </c>
      <c r="E210" s="24">
        <v>2</v>
      </c>
      <c r="F210" s="24">
        <v>3</v>
      </c>
      <c r="G210" s="24">
        <v>0</v>
      </c>
      <c r="H210" s="24">
        <v>0</v>
      </c>
      <c r="I210" s="23"/>
      <c r="J210" s="61"/>
      <c r="K210" s="61"/>
      <c r="L210" s="10" t="s">
        <v>293</v>
      </c>
      <c r="M210" s="11"/>
      <c r="N210" s="67"/>
      <c r="O210" s="67"/>
      <c r="P210" s="54"/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</row>
    <row r="211" spans="1:28" x14ac:dyDescent="0.2">
      <c r="A211" s="33" t="s">
        <v>292</v>
      </c>
      <c r="B211" s="33">
        <v>2</v>
      </c>
      <c r="C211" s="33">
        <v>3</v>
      </c>
      <c r="D211" s="33">
        <v>5</v>
      </c>
      <c r="E211" s="33">
        <v>2</v>
      </c>
      <c r="F211" s="33">
        <v>4</v>
      </c>
      <c r="G211" s="33">
        <v>0</v>
      </c>
      <c r="H211" s="33">
        <v>0</v>
      </c>
      <c r="I211" s="28"/>
      <c r="J211" s="17"/>
      <c r="K211" s="17"/>
      <c r="L211" s="17" t="s">
        <v>291</v>
      </c>
      <c r="M211" s="32"/>
      <c r="N211" s="66"/>
      <c r="O211" s="17"/>
      <c r="P211" s="56"/>
      <c r="Q211" s="30">
        <f t="shared" ref="Q211:AB211" si="51">+Q212+Q213</f>
        <v>0</v>
      </c>
      <c r="R211" s="30">
        <f t="shared" si="51"/>
        <v>0</v>
      </c>
      <c r="S211" s="30">
        <f t="shared" si="51"/>
        <v>0</v>
      </c>
      <c r="T211" s="30">
        <f t="shared" si="51"/>
        <v>0</v>
      </c>
      <c r="U211" s="30">
        <f t="shared" si="51"/>
        <v>0</v>
      </c>
      <c r="V211" s="30">
        <f t="shared" si="51"/>
        <v>0</v>
      </c>
      <c r="W211" s="30">
        <f t="shared" si="51"/>
        <v>0</v>
      </c>
      <c r="X211" s="30">
        <f t="shared" si="51"/>
        <v>0</v>
      </c>
      <c r="Y211" s="30">
        <f t="shared" si="51"/>
        <v>0</v>
      </c>
      <c r="Z211" s="30">
        <f t="shared" si="51"/>
        <v>0</v>
      </c>
      <c r="AA211" s="30">
        <f t="shared" si="51"/>
        <v>0</v>
      </c>
      <c r="AB211" s="30">
        <f t="shared" si="51"/>
        <v>0</v>
      </c>
    </row>
    <row r="212" spans="1:28" x14ac:dyDescent="0.2">
      <c r="A212" s="24" t="s">
        <v>290</v>
      </c>
      <c r="B212" s="24">
        <v>2</v>
      </c>
      <c r="C212" s="24">
        <v>3</v>
      </c>
      <c r="D212" s="24">
        <v>5</v>
      </c>
      <c r="E212" s="24">
        <v>2</v>
      </c>
      <c r="F212" s="24">
        <v>4</v>
      </c>
      <c r="G212" s="24">
        <v>1</v>
      </c>
      <c r="H212" s="24">
        <v>0</v>
      </c>
      <c r="I212" s="23"/>
      <c r="J212" s="10"/>
      <c r="K212" s="10"/>
      <c r="L212" s="65"/>
      <c r="M212" s="10" t="s">
        <v>289</v>
      </c>
      <c r="N212" s="11"/>
      <c r="O212" s="10"/>
      <c r="P212" s="54"/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</row>
    <row r="213" spans="1:28" x14ac:dyDescent="0.2">
      <c r="A213" s="24" t="s">
        <v>288</v>
      </c>
      <c r="B213" s="24">
        <v>2</v>
      </c>
      <c r="C213" s="24">
        <v>3</v>
      </c>
      <c r="D213" s="24">
        <v>5</v>
      </c>
      <c r="E213" s="24">
        <v>2</v>
      </c>
      <c r="F213" s="24">
        <v>4</v>
      </c>
      <c r="G213" s="24">
        <v>2</v>
      </c>
      <c r="H213" s="24">
        <v>0</v>
      </c>
      <c r="I213" s="23"/>
      <c r="J213" s="10"/>
      <c r="K213" s="10"/>
      <c r="L213" s="65"/>
      <c r="M213" s="10" t="s">
        <v>287</v>
      </c>
      <c r="N213" s="11"/>
      <c r="O213" s="10"/>
      <c r="P213" s="54"/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</row>
    <row r="214" spans="1:28" x14ac:dyDescent="0.2">
      <c r="A214" s="24" t="s">
        <v>286</v>
      </c>
      <c r="B214" s="24">
        <v>2</v>
      </c>
      <c r="C214" s="24">
        <v>3</v>
      </c>
      <c r="D214" s="24">
        <v>5</v>
      </c>
      <c r="E214" s="24">
        <v>3</v>
      </c>
      <c r="F214" s="24">
        <v>2</v>
      </c>
      <c r="G214" s="24">
        <v>0</v>
      </c>
      <c r="H214" s="24">
        <v>0</v>
      </c>
      <c r="I214" s="23"/>
      <c r="J214" s="10"/>
      <c r="K214" s="10"/>
      <c r="L214" s="10" t="s">
        <v>285</v>
      </c>
      <c r="M214" s="11"/>
      <c r="N214" s="10"/>
      <c r="O214" s="10"/>
      <c r="P214" s="54"/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</row>
    <row r="215" spans="1:28" x14ac:dyDescent="0.2">
      <c r="A215" s="24" t="s">
        <v>284</v>
      </c>
      <c r="B215" s="24">
        <v>2</v>
      </c>
      <c r="C215" s="24">
        <v>3</v>
      </c>
      <c r="D215" s="24">
        <v>5</v>
      </c>
      <c r="E215" s="24">
        <v>3</v>
      </c>
      <c r="F215" s="24">
        <v>3</v>
      </c>
      <c r="G215" s="24">
        <v>0</v>
      </c>
      <c r="H215" s="24">
        <v>0</v>
      </c>
      <c r="I215" s="23"/>
      <c r="J215" s="10"/>
      <c r="K215" s="10"/>
      <c r="L215" s="10" t="s">
        <v>283</v>
      </c>
      <c r="M215" s="11"/>
      <c r="N215" s="10"/>
      <c r="O215" s="10"/>
      <c r="P215" s="54"/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</row>
    <row r="216" spans="1:28" x14ac:dyDescent="0.2">
      <c r="A216" s="20" t="s">
        <v>282</v>
      </c>
      <c r="B216" s="20">
        <v>2</v>
      </c>
      <c r="C216" s="20">
        <v>3</v>
      </c>
      <c r="D216" s="20">
        <v>6</v>
      </c>
      <c r="E216" s="20">
        <v>1</v>
      </c>
      <c r="F216" s="20">
        <v>1</v>
      </c>
      <c r="G216" s="20">
        <v>0</v>
      </c>
      <c r="H216" s="20">
        <v>0</v>
      </c>
      <c r="I216" s="28"/>
      <c r="J216" s="26" t="s">
        <v>281</v>
      </c>
      <c r="K216" s="38"/>
      <c r="L216" s="32"/>
      <c r="M216" s="63"/>
      <c r="N216" s="32"/>
      <c r="O216" s="17"/>
      <c r="P216" s="16"/>
      <c r="Q216" s="15">
        <f t="shared" ref="Q216:AB216" si="52">+Q217+Q218</f>
        <v>0</v>
      </c>
      <c r="R216" s="15">
        <f t="shared" si="52"/>
        <v>0</v>
      </c>
      <c r="S216" s="15">
        <f t="shared" si="52"/>
        <v>0</v>
      </c>
      <c r="T216" s="15">
        <f t="shared" si="52"/>
        <v>0</v>
      </c>
      <c r="U216" s="15">
        <f t="shared" si="52"/>
        <v>0</v>
      </c>
      <c r="V216" s="15">
        <f t="shared" si="52"/>
        <v>0</v>
      </c>
      <c r="W216" s="15">
        <f t="shared" si="52"/>
        <v>0</v>
      </c>
      <c r="X216" s="15">
        <f t="shared" si="52"/>
        <v>0</v>
      </c>
      <c r="Y216" s="15">
        <f t="shared" si="52"/>
        <v>0</v>
      </c>
      <c r="Z216" s="15">
        <f t="shared" si="52"/>
        <v>0</v>
      </c>
      <c r="AA216" s="15">
        <f t="shared" si="52"/>
        <v>0</v>
      </c>
      <c r="AB216" s="15">
        <f t="shared" si="52"/>
        <v>0</v>
      </c>
    </row>
    <row r="217" spans="1:28" x14ac:dyDescent="0.2">
      <c r="A217" s="24" t="s">
        <v>280</v>
      </c>
      <c r="B217" s="24">
        <v>2</v>
      </c>
      <c r="C217" s="24">
        <v>3</v>
      </c>
      <c r="D217" s="24">
        <v>6</v>
      </c>
      <c r="E217" s="24">
        <v>1</v>
      </c>
      <c r="F217" s="24">
        <v>1</v>
      </c>
      <c r="G217" s="24">
        <v>1</v>
      </c>
      <c r="H217" s="24">
        <v>0</v>
      </c>
      <c r="I217" s="23"/>
      <c r="J217" s="10"/>
      <c r="K217" s="11" t="s">
        <v>279</v>
      </c>
      <c r="L217" s="11"/>
      <c r="M217" s="64"/>
      <c r="N217" s="11"/>
      <c r="O217" s="10"/>
      <c r="P217" s="9"/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</row>
    <row r="218" spans="1:28" x14ac:dyDescent="0.2">
      <c r="A218" s="24" t="s">
        <v>278</v>
      </c>
      <c r="B218" s="24">
        <v>2</v>
      </c>
      <c r="C218" s="24">
        <v>3</v>
      </c>
      <c r="D218" s="24">
        <v>6</v>
      </c>
      <c r="E218" s="24">
        <v>1</v>
      </c>
      <c r="F218" s="24">
        <v>1</v>
      </c>
      <c r="G218" s="24">
        <v>2</v>
      </c>
      <c r="H218" s="24">
        <v>0</v>
      </c>
      <c r="I218" s="23"/>
      <c r="J218" s="10"/>
      <c r="K218" s="11" t="s">
        <v>277</v>
      </c>
      <c r="L218" s="11"/>
      <c r="M218" s="64"/>
      <c r="N218" s="11"/>
      <c r="O218" s="10"/>
      <c r="P218" s="9"/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</row>
    <row r="219" spans="1:28" x14ac:dyDescent="0.2">
      <c r="A219" s="20" t="s">
        <v>276</v>
      </c>
      <c r="B219" s="20">
        <v>2</v>
      </c>
      <c r="C219" s="20">
        <v>3</v>
      </c>
      <c r="D219" s="20">
        <v>6</v>
      </c>
      <c r="E219" s="20">
        <v>1</v>
      </c>
      <c r="F219" s="20">
        <v>2</v>
      </c>
      <c r="G219" s="20">
        <v>0</v>
      </c>
      <c r="H219" s="20">
        <v>0</v>
      </c>
      <c r="I219" s="28"/>
      <c r="J219" s="26" t="s">
        <v>275</v>
      </c>
      <c r="K219" s="38"/>
      <c r="L219" s="32"/>
      <c r="M219" s="63"/>
      <c r="N219" s="32"/>
      <c r="O219" s="17"/>
      <c r="P219" s="16"/>
      <c r="Q219" s="15">
        <f t="shared" ref="Q219:AB219" si="53">+Q220+Q221</f>
        <v>0</v>
      </c>
      <c r="R219" s="15">
        <f t="shared" si="53"/>
        <v>0</v>
      </c>
      <c r="S219" s="15">
        <f t="shared" si="53"/>
        <v>0</v>
      </c>
      <c r="T219" s="15">
        <f t="shared" si="53"/>
        <v>0</v>
      </c>
      <c r="U219" s="15">
        <f t="shared" si="53"/>
        <v>0</v>
      </c>
      <c r="V219" s="15">
        <f t="shared" si="53"/>
        <v>0</v>
      </c>
      <c r="W219" s="15">
        <f t="shared" si="53"/>
        <v>0</v>
      </c>
      <c r="X219" s="15">
        <f t="shared" si="53"/>
        <v>0</v>
      </c>
      <c r="Y219" s="15">
        <f t="shared" si="53"/>
        <v>0</v>
      </c>
      <c r="Z219" s="15">
        <f t="shared" si="53"/>
        <v>0</v>
      </c>
      <c r="AA219" s="15">
        <f t="shared" si="53"/>
        <v>0</v>
      </c>
      <c r="AB219" s="15">
        <f t="shared" si="53"/>
        <v>0</v>
      </c>
    </row>
    <row r="220" spans="1:28" x14ac:dyDescent="0.2">
      <c r="A220" s="24" t="s">
        <v>274</v>
      </c>
      <c r="B220" s="24">
        <v>2</v>
      </c>
      <c r="C220" s="24">
        <v>3</v>
      </c>
      <c r="D220" s="24">
        <v>6</v>
      </c>
      <c r="E220" s="24">
        <v>1</v>
      </c>
      <c r="F220" s="24">
        <v>2</v>
      </c>
      <c r="G220" s="24">
        <v>1</v>
      </c>
      <c r="H220" s="24">
        <v>0</v>
      </c>
      <c r="I220" s="23"/>
      <c r="J220" s="62"/>
      <c r="K220" s="10" t="s">
        <v>273</v>
      </c>
      <c r="L220" s="61"/>
      <c r="M220" s="11"/>
      <c r="N220" s="11"/>
      <c r="O220" s="60"/>
      <c r="P220" s="9"/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</row>
    <row r="221" spans="1:28" x14ac:dyDescent="0.2">
      <c r="A221" s="24" t="s">
        <v>272</v>
      </c>
      <c r="B221" s="24">
        <v>2</v>
      </c>
      <c r="C221" s="24">
        <v>3</v>
      </c>
      <c r="D221" s="24">
        <v>6</v>
      </c>
      <c r="E221" s="24">
        <v>1</v>
      </c>
      <c r="F221" s="24">
        <v>2</v>
      </c>
      <c r="G221" s="24">
        <v>2</v>
      </c>
      <c r="H221" s="24">
        <v>0</v>
      </c>
      <c r="I221" s="23"/>
      <c r="J221" s="62"/>
      <c r="K221" s="10" t="s">
        <v>271</v>
      </c>
      <c r="L221" s="61"/>
      <c r="M221" s="11"/>
      <c r="N221" s="11"/>
      <c r="O221" s="60"/>
      <c r="P221" s="9"/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</row>
    <row r="222" spans="1:28" x14ac:dyDescent="0.2">
      <c r="A222" s="20" t="s">
        <v>270</v>
      </c>
      <c r="B222" s="20">
        <v>2</v>
      </c>
      <c r="C222" s="20">
        <v>3</v>
      </c>
      <c r="D222" s="20">
        <v>8</v>
      </c>
      <c r="E222" s="20">
        <v>0</v>
      </c>
      <c r="F222" s="20">
        <v>0</v>
      </c>
      <c r="G222" s="20">
        <v>0</v>
      </c>
      <c r="H222" s="20">
        <v>0</v>
      </c>
      <c r="I222" s="57"/>
      <c r="J222" s="26" t="s">
        <v>269</v>
      </c>
      <c r="K222" s="59"/>
      <c r="L222" s="59"/>
      <c r="M222" s="59"/>
      <c r="N222" s="32"/>
      <c r="O222" s="59"/>
      <c r="P222" s="56"/>
      <c r="Q222" s="58">
        <f t="shared" ref="Q222:AB222" si="54">+Q223+Q224</f>
        <v>0</v>
      </c>
      <c r="R222" s="58">
        <f t="shared" si="54"/>
        <v>0</v>
      </c>
      <c r="S222" s="58">
        <f t="shared" si="54"/>
        <v>0</v>
      </c>
      <c r="T222" s="58">
        <f t="shared" si="54"/>
        <v>0</v>
      </c>
      <c r="U222" s="58">
        <f t="shared" si="54"/>
        <v>0</v>
      </c>
      <c r="V222" s="58">
        <f t="shared" si="54"/>
        <v>0</v>
      </c>
      <c r="W222" s="58">
        <f t="shared" si="54"/>
        <v>0</v>
      </c>
      <c r="X222" s="58">
        <f t="shared" si="54"/>
        <v>0</v>
      </c>
      <c r="Y222" s="58">
        <f t="shared" si="54"/>
        <v>0</v>
      </c>
      <c r="Z222" s="58">
        <f t="shared" si="54"/>
        <v>0</v>
      </c>
      <c r="AA222" s="58">
        <f t="shared" si="54"/>
        <v>0</v>
      </c>
      <c r="AB222" s="58">
        <f t="shared" si="54"/>
        <v>0</v>
      </c>
    </row>
    <row r="223" spans="1:28" x14ac:dyDescent="0.2">
      <c r="A223" s="24" t="s">
        <v>268</v>
      </c>
      <c r="B223" s="24">
        <v>2</v>
      </c>
      <c r="C223" s="24">
        <v>3</v>
      </c>
      <c r="D223" s="24">
        <v>8</v>
      </c>
      <c r="E223" s="24">
        <v>1</v>
      </c>
      <c r="F223" s="24">
        <v>0</v>
      </c>
      <c r="G223" s="24">
        <v>0</v>
      </c>
      <c r="H223" s="24">
        <v>0</v>
      </c>
      <c r="I223" s="55"/>
      <c r="J223" s="11"/>
      <c r="K223" s="10" t="s">
        <v>138</v>
      </c>
      <c r="L223" s="11"/>
      <c r="M223" s="11"/>
      <c r="N223" s="11"/>
      <c r="O223" s="11"/>
      <c r="P223" s="54"/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</row>
    <row r="224" spans="1:28" x14ac:dyDescent="0.2">
      <c r="A224" s="24" t="s">
        <v>267</v>
      </c>
      <c r="B224" s="24">
        <v>2</v>
      </c>
      <c r="C224" s="24">
        <v>3</v>
      </c>
      <c r="D224" s="24">
        <v>8</v>
      </c>
      <c r="E224" s="24">
        <v>2</v>
      </c>
      <c r="F224" s="24">
        <v>0</v>
      </c>
      <c r="G224" s="24">
        <v>0</v>
      </c>
      <c r="H224" s="24">
        <v>0</v>
      </c>
      <c r="I224" s="55"/>
      <c r="J224" s="11"/>
      <c r="K224" s="10" t="s">
        <v>262</v>
      </c>
      <c r="L224" s="11"/>
      <c r="M224" s="11"/>
      <c r="N224" s="11"/>
      <c r="O224" s="11"/>
      <c r="P224" s="54"/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</row>
    <row r="225" spans="1:28" x14ac:dyDescent="0.2">
      <c r="A225" s="20" t="s">
        <v>266</v>
      </c>
      <c r="B225" s="20">
        <v>2</v>
      </c>
      <c r="C225" s="20">
        <v>3</v>
      </c>
      <c r="D225" s="20">
        <v>9</v>
      </c>
      <c r="E225" s="20">
        <v>0</v>
      </c>
      <c r="F225" s="20">
        <v>0</v>
      </c>
      <c r="G225" s="20">
        <v>0</v>
      </c>
      <c r="H225" s="20">
        <v>0</v>
      </c>
      <c r="I225" s="57"/>
      <c r="J225" s="18" t="s">
        <v>265</v>
      </c>
      <c r="K225" s="32"/>
      <c r="L225" s="17"/>
      <c r="M225" s="32"/>
      <c r="N225" s="32"/>
      <c r="O225" s="32"/>
      <c r="P225" s="56"/>
      <c r="Q225" s="15">
        <f t="shared" ref="Q225:AB225" si="55">+Q226+Q227</f>
        <v>0</v>
      </c>
      <c r="R225" s="15">
        <f t="shared" si="55"/>
        <v>0</v>
      </c>
      <c r="S225" s="15">
        <f t="shared" si="55"/>
        <v>0</v>
      </c>
      <c r="T225" s="15">
        <f t="shared" si="55"/>
        <v>0</v>
      </c>
      <c r="U225" s="15">
        <f t="shared" si="55"/>
        <v>0</v>
      </c>
      <c r="V225" s="15">
        <f t="shared" si="55"/>
        <v>0</v>
      </c>
      <c r="W225" s="15">
        <f t="shared" si="55"/>
        <v>0</v>
      </c>
      <c r="X225" s="15">
        <f t="shared" si="55"/>
        <v>0</v>
      </c>
      <c r="Y225" s="15">
        <f t="shared" si="55"/>
        <v>0</v>
      </c>
      <c r="Z225" s="15">
        <f t="shared" si="55"/>
        <v>0</v>
      </c>
      <c r="AA225" s="15">
        <f t="shared" si="55"/>
        <v>0</v>
      </c>
      <c r="AB225" s="15">
        <f t="shared" si="55"/>
        <v>0</v>
      </c>
    </row>
    <row r="226" spans="1:28" x14ac:dyDescent="0.2">
      <c r="A226" s="24" t="s">
        <v>264</v>
      </c>
      <c r="B226" s="24">
        <v>2</v>
      </c>
      <c r="C226" s="24">
        <v>3</v>
      </c>
      <c r="D226" s="24">
        <v>9</v>
      </c>
      <c r="E226" s="24">
        <v>1</v>
      </c>
      <c r="F226" s="24">
        <v>0</v>
      </c>
      <c r="G226" s="24">
        <v>0</v>
      </c>
      <c r="H226" s="24">
        <v>0</v>
      </c>
      <c r="I226" s="55"/>
      <c r="J226" s="11"/>
      <c r="K226" s="11" t="s">
        <v>138</v>
      </c>
      <c r="L226" s="10"/>
      <c r="M226" s="11"/>
      <c r="N226" s="11"/>
      <c r="O226" s="11"/>
      <c r="P226" s="54"/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</row>
    <row r="227" spans="1:28" x14ac:dyDescent="0.2">
      <c r="A227" s="24" t="s">
        <v>263</v>
      </c>
      <c r="B227" s="24">
        <v>2</v>
      </c>
      <c r="C227" s="24">
        <v>3</v>
      </c>
      <c r="D227" s="24">
        <v>9</v>
      </c>
      <c r="E227" s="24">
        <v>2</v>
      </c>
      <c r="F227" s="24">
        <v>0</v>
      </c>
      <c r="G227" s="24">
        <v>0</v>
      </c>
      <c r="H227" s="24">
        <v>0</v>
      </c>
      <c r="I227" s="55"/>
      <c r="J227" s="11"/>
      <c r="K227" s="11" t="s">
        <v>262</v>
      </c>
      <c r="L227" s="10"/>
      <c r="M227" s="11"/>
      <c r="N227" s="11"/>
      <c r="O227" s="11"/>
      <c r="P227" s="54"/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</row>
    <row r="228" spans="1:28" x14ac:dyDescent="0.2">
      <c r="A228" s="20" t="s">
        <v>261</v>
      </c>
      <c r="B228" s="20">
        <v>2</v>
      </c>
      <c r="C228" s="20">
        <v>1</v>
      </c>
      <c r="D228" s="20">
        <v>8</v>
      </c>
      <c r="E228" s="20">
        <v>0</v>
      </c>
      <c r="F228" s="20">
        <v>0</v>
      </c>
      <c r="G228" s="20">
        <v>0</v>
      </c>
      <c r="H228" s="20">
        <v>0</v>
      </c>
      <c r="I228" s="19"/>
      <c r="J228" s="26" t="s">
        <v>260</v>
      </c>
      <c r="K228" s="17"/>
      <c r="L228" s="17"/>
      <c r="M228" s="17"/>
      <c r="N228" s="32"/>
      <c r="O228" s="53"/>
      <c r="P228" s="16"/>
      <c r="Q228" s="15">
        <f t="shared" ref="Q228:AB228" si="56">+Q229+Q236+Q240+Q246+Q250+Q253+Q254+Q255</f>
        <v>15471762</v>
      </c>
      <c r="R228" s="15">
        <f t="shared" si="56"/>
        <v>42102918</v>
      </c>
      <c r="S228" s="15">
        <f t="shared" si="56"/>
        <v>59500910</v>
      </c>
      <c r="T228" s="15">
        <f t="shared" si="56"/>
        <v>81091810.450000003</v>
      </c>
      <c r="U228" s="15">
        <f t="shared" si="56"/>
        <v>50271507.479999997</v>
      </c>
      <c r="V228" s="15">
        <f t="shared" si="56"/>
        <v>52086392</v>
      </c>
      <c r="W228" s="15">
        <f t="shared" si="56"/>
        <v>79209244</v>
      </c>
      <c r="X228" s="15">
        <f t="shared" si="56"/>
        <v>69721878.519999996</v>
      </c>
      <c r="Y228" s="15">
        <f t="shared" si="56"/>
        <v>96111127.669999987</v>
      </c>
      <c r="Z228" s="15">
        <f t="shared" si="56"/>
        <v>46180943.990000002</v>
      </c>
      <c r="AA228" s="15">
        <f t="shared" si="56"/>
        <v>74008372</v>
      </c>
      <c r="AB228" s="15">
        <f t="shared" si="56"/>
        <v>123802237.86</v>
      </c>
    </row>
    <row r="229" spans="1:28" x14ac:dyDescent="0.2">
      <c r="A229" s="33" t="s">
        <v>259</v>
      </c>
      <c r="B229" s="33">
        <v>2</v>
      </c>
      <c r="C229" s="33">
        <v>1</v>
      </c>
      <c r="D229" s="33">
        <v>8</v>
      </c>
      <c r="E229" s="33">
        <v>1</v>
      </c>
      <c r="F229" s="33">
        <v>0</v>
      </c>
      <c r="G229" s="33">
        <v>0</v>
      </c>
      <c r="H229" s="33">
        <v>0</v>
      </c>
      <c r="I229" s="19"/>
      <c r="J229" s="17"/>
      <c r="K229" s="17" t="s">
        <v>258</v>
      </c>
      <c r="L229" s="17"/>
      <c r="M229" s="17"/>
      <c r="N229" s="32"/>
      <c r="O229" s="53"/>
      <c r="P229" s="16"/>
      <c r="Q229" s="30">
        <f t="shared" ref="Q229:AB229" si="57">+Q230+Q231+Q232+Q233+Q234+Q235</f>
        <v>15408470</v>
      </c>
      <c r="R229" s="30">
        <f t="shared" si="57"/>
        <v>42041813</v>
      </c>
      <c r="S229" s="30">
        <f t="shared" si="57"/>
        <v>45317752</v>
      </c>
      <c r="T229" s="30">
        <f t="shared" si="57"/>
        <v>67497050</v>
      </c>
      <c r="U229" s="30">
        <f t="shared" si="57"/>
        <v>49934391</v>
      </c>
      <c r="V229" s="30">
        <f t="shared" si="57"/>
        <v>52060392</v>
      </c>
      <c r="W229" s="30">
        <f t="shared" si="57"/>
        <v>66349044</v>
      </c>
      <c r="X229" s="30">
        <f t="shared" si="57"/>
        <v>61634302</v>
      </c>
      <c r="Y229" s="30">
        <f t="shared" si="57"/>
        <v>95453586.689999998</v>
      </c>
      <c r="Z229" s="30">
        <f t="shared" si="57"/>
        <v>45835881</v>
      </c>
      <c r="AA229" s="30">
        <f t="shared" si="57"/>
        <v>59678864</v>
      </c>
      <c r="AB229" s="30">
        <f t="shared" si="57"/>
        <v>111090269.34999999</v>
      </c>
    </row>
    <row r="230" spans="1:28" x14ac:dyDescent="0.2">
      <c r="A230" s="24" t="s">
        <v>257</v>
      </c>
      <c r="B230" s="24">
        <v>2</v>
      </c>
      <c r="C230" s="24">
        <v>1</v>
      </c>
      <c r="D230" s="24">
        <v>8</v>
      </c>
      <c r="E230" s="24">
        <v>1</v>
      </c>
      <c r="F230" s="24">
        <v>1</v>
      </c>
      <c r="G230" s="24">
        <v>0</v>
      </c>
      <c r="H230" s="24">
        <v>0</v>
      </c>
      <c r="I230" s="13"/>
      <c r="J230" s="10"/>
      <c r="K230" s="10"/>
      <c r="L230" s="10" t="s">
        <v>256</v>
      </c>
      <c r="M230" s="10"/>
      <c r="N230" s="11"/>
      <c r="O230" s="52"/>
      <c r="P230" s="9"/>
      <c r="Q230" s="8">
        <v>1569881</v>
      </c>
      <c r="R230" s="8">
        <f>21071254</f>
        <v>21071254</v>
      </c>
      <c r="S230" s="8">
        <v>31761138</v>
      </c>
      <c r="T230" s="8">
        <v>44605084</v>
      </c>
      <c r="U230" s="8">
        <v>36572773</v>
      </c>
      <c r="V230" s="8">
        <v>38241359</v>
      </c>
      <c r="W230" s="8">
        <v>56122334</v>
      </c>
      <c r="X230" s="8">
        <v>42509089</v>
      </c>
      <c r="Y230" s="8">
        <v>69928766.049999997</v>
      </c>
      <c r="Z230" s="8">
        <v>32943898</v>
      </c>
      <c r="AA230" s="8">
        <v>45344526</v>
      </c>
      <c r="AB230" s="8">
        <f>33317263.39+64026165.71</f>
        <v>97343429.099999994</v>
      </c>
    </row>
    <row r="231" spans="1:28" x14ac:dyDescent="0.2">
      <c r="A231" s="24" t="s">
        <v>255</v>
      </c>
      <c r="B231" s="24">
        <v>2</v>
      </c>
      <c r="C231" s="24">
        <v>1</v>
      </c>
      <c r="D231" s="24">
        <v>8</v>
      </c>
      <c r="E231" s="24">
        <v>1</v>
      </c>
      <c r="F231" s="24">
        <v>2</v>
      </c>
      <c r="G231" s="24">
        <v>0</v>
      </c>
      <c r="H231" s="24">
        <v>0</v>
      </c>
      <c r="I231" s="13"/>
      <c r="J231" s="10"/>
      <c r="K231" s="10"/>
      <c r="L231" s="10" t="s">
        <v>254</v>
      </c>
      <c r="M231" s="10"/>
      <c r="N231" s="11"/>
      <c r="O231" s="52"/>
      <c r="P231" s="9"/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</row>
    <row r="232" spans="1:28" x14ac:dyDescent="0.2">
      <c r="A232" s="24" t="s">
        <v>253</v>
      </c>
      <c r="B232" s="24">
        <v>2</v>
      </c>
      <c r="C232" s="24">
        <v>1</v>
      </c>
      <c r="D232" s="24">
        <v>8</v>
      </c>
      <c r="E232" s="24">
        <v>1</v>
      </c>
      <c r="F232" s="24">
        <v>3</v>
      </c>
      <c r="G232" s="24">
        <v>0</v>
      </c>
      <c r="H232" s="24">
        <v>0</v>
      </c>
      <c r="I232" s="13"/>
      <c r="J232" s="10"/>
      <c r="K232" s="10"/>
      <c r="L232" s="10" t="s">
        <v>252</v>
      </c>
      <c r="M232" s="10"/>
      <c r="N232" s="11"/>
      <c r="O232" s="52"/>
      <c r="P232" s="9"/>
      <c r="Q232" s="8">
        <v>13510122</v>
      </c>
      <c r="R232" s="8">
        <v>20954236</v>
      </c>
      <c r="S232" s="8">
        <v>13482378</v>
      </c>
      <c r="T232" s="8">
        <v>22784230</v>
      </c>
      <c r="U232" s="8">
        <v>13273409</v>
      </c>
      <c r="V232" s="8">
        <v>13704488</v>
      </c>
      <c r="W232" s="8">
        <v>10121902</v>
      </c>
      <c r="X232" s="8">
        <v>19012741</v>
      </c>
      <c r="Y232" s="8">
        <v>25405487.780000001</v>
      </c>
      <c r="Z232" s="8">
        <v>12808418</v>
      </c>
      <c r="AA232" s="8">
        <v>14173472</v>
      </c>
      <c r="AB232" s="8">
        <v>13606861.619999999</v>
      </c>
    </row>
    <row r="233" spans="1:28" x14ac:dyDescent="0.2">
      <c r="A233" s="24" t="s">
        <v>251</v>
      </c>
      <c r="B233" s="24">
        <v>2</v>
      </c>
      <c r="C233" s="24">
        <v>1</v>
      </c>
      <c r="D233" s="24">
        <v>8</v>
      </c>
      <c r="E233" s="24">
        <v>1</v>
      </c>
      <c r="F233" s="24">
        <v>4</v>
      </c>
      <c r="G233" s="24">
        <v>0</v>
      </c>
      <c r="H233" s="24">
        <v>0</v>
      </c>
      <c r="I233" s="13"/>
      <c r="J233" s="10"/>
      <c r="K233" s="10"/>
      <c r="L233" s="10" t="s">
        <v>250</v>
      </c>
      <c r="M233" s="10"/>
      <c r="N233" s="11"/>
      <c r="O233" s="52"/>
      <c r="P233" s="9"/>
      <c r="Q233" s="8">
        <v>7575</v>
      </c>
      <c r="R233" s="8">
        <v>538</v>
      </c>
      <c r="S233" s="8">
        <v>7245</v>
      </c>
      <c r="T233" s="8">
        <v>3231</v>
      </c>
      <c r="U233" s="8">
        <v>800</v>
      </c>
      <c r="V233" s="8">
        <v>4708</v>
      </c>
      <c r="W233" s="8">
        <v>5157</v>
      </c>
      <c r="X233" s="8">
        <v>8339</v>
      </c>
      <c r="Y233" s="8">
        <v>5060.22</v>
      </c>
      <c r="Z233" s="8">
        <v>5691</v>
      </c>
      <c r="AA233" s="8">
        <v>7845</v>
      </c>
      <c r="AB233" s="8">
        <v>8511.44</v>
      </c>
    </row>
    <row r="234" spans="1:28" x14ac:dyDescent="0.2">
      <c r="A234" s="24" t="s">
        <v>249</v>
      </c>
      <c r="B234" s="24">
        <v>2</v>
      </c>
      <c r="C234" s="24">
        <v>1</v>
      </c>
      <c r="D234" s="24">
        <v>8</v>
      </c>
      <c r="E234" s="24">
        <v>1</v>
      </c>
      <c r="F234" s="24">
        <v>5</v>
      </c>
      <c r="G234" s="24">
        <v>0</v>
      </c>
      <c r="H234" s="24">
        <v>0</v>
      </c>
      <c r="I234" s="13"/>
      <c r="J234" s="10"/>
      <c r="K234" s="10"/>
      <c r="L234" s="10" t="s">
        <v>248</v>
      </c>
      <c r="M234" s="10"/>
      <c r="N234" s="11"/>
      <c r="O234" s="52"/>
      <c r="P234" s="9"/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</row>
    <row r="235" spans="1:28" x14ac:dyDescent="0.2">
      <c r="A235" s="24" t="s">
        <v>247</v>
      </c>
      <c r="B235" s="24">
        <v>2</v>
      </c>
      <c r="C235" s="24">
        <v>1</v>
      </c>
      <c r="D235" s="24">
        <v>8</v>
      </c>
      <c r="E235" s="24">
        <v>1</v>
      </c>
      <c r="F235" s="24">
        <v>6</v>
      </c>
      <c r="G235" s="24">
        <v>0</v>
      </c>
      <c r="H235" s="24">
        <v>0</v>
      </c>
      <c r="I235" s="13"/>
      <c r="J235" s="10"/>
      <c r="K235" s="10"/>
      <c r="L235" s="10" t="s">
        <v>246</v>
      </c>
      <c r="M235" s="10"/>
      <c r="N235" s="11"/>
      <c r="O235" s="52"/>
      <c r="P235" s="9"/>
      <c r="Q235" s="8">
        <v>320892</v>
      </c>
      <c r="R235" s="8">
        <v>15785</v>
      </c>
      <c r="S235" s="8">
        <v>66991</v>
      </c>
      <c r="T235" s="8">
        <v>104505</v>
      </c>
      <c r="U235" s="8">
        <v>87409</v>
      </c>
      <c r="V235" s="8">
        <v>109837</v>
      </c>
      <c r="W235" s="8">
        <v>99651</v>
      </c>
      <c r="X235" s="8">
        <v>104133</v>
      </c>
      <c r="Y235" s="8">
        <v>114272.64</v>
      </c>
      <c r="Z235" s="8">
        <v>77874</v>
      </c>
      <c r="AA235" s="8">
        <v>153021</v>
      </c>
      <c r="AB235" s="8">
        <f>124490.88+6671.96+304.35</f>
        <v>131467.19</v>
      </c>
    </row>
    <row r="236" spans="1:28" x14ac:dyDescent="0.2">
      <c r="A236" s="33" t="s">
        <v>245</v>
      </c>
      <c r="B236" s="33">
        <v>2</v>
      </c>
      <c r="C236" s="33">
        <v>1</v>
      </c>
      <c r="D236" s="33">
        <v>8</v>
      </c>
      <c r="E236" s="33">
        <v>2</v>
      </c>
      <c r="F236" s="33">
        <v>0</v>
      </c>
      <c r="G236" s="33">
        <v>0</v>
      </c>
      <c r="H236" s="33">
        <v>0</v>
      </c>
      <c r="I236" s="19"/>
      <c r="J236" s="17"/>
      <c r="K236" s="17" t="s">
        <v>244</v>
      </c>
      <c r="L236" s="17"/>
      <c r="M236" s="17"/>
      <c r="N236" s="32"/>
      <c r="O236" s="53"/>
      <c r="P236" s="16"/>
      <c r="Q236" s="30">
        <f t="shared" ref="Q236:AB236" si="58">+Q237+Q238+Q239</f>
        <v>0</v>
      </c>
      <c r="R236" s="30">
        <f t="shared" si="58"/>
        <v>0</v>
      </c>
      <c r="S236" s="30">
        <f t="shared" si="58"/>
        <v>0</v>
      </c>
      <c r="T236" s="30">
        <f t="shared" si="58"/>
        <v>0</v>
      </c>
      <c r="U236" s="30">
        <f t="shared" si="58"/>
        <v>0</v>
      </c>
      <c r="V236" s="30">
        <f t="shared" si="58"/>
        <v>0</v>
      </c>
      <c r="W236" s="30">
        <f t="shared" si="58"/>
        <v>0</v>
      </c>
      <c r="X236" s="30">
        <f t="shared" si="58"/>
        <v>0</v>
      </c>
      <c r="Y236" s="30">
        <f t="shared" si="58"/>
        <v>0</v>
      </c>
      <c r="Z236" s="30">
        <f t="shared" si="58"/>
        <v>0</v>
      </c>
      <c r="AA236" s="30">
        <f t="shared" si="58"/>
        <v>0</v>
      </c>
      <c r="AB236" s="30">
        <f t="shared" si="58"/>
        <v>0</v>
      </c>
    </row>
    <row r="237" spans="1:28" x14ac:dyDescent="0.2">
      <c r="A237" s="24" t="s">
        <v>243</v>
      </c>
      <c r="B237" s="24">
        <v>2</v>
      </c>
      <c r="C237" s="24">
        <v>1</v>
      </c>
      <c r="D237" s="24">
        <v>8</v>
      </c>
      <c r="E237" s="24">
        <v>2</v>
      </c>
      <c r="F237" s="24">
        <v>1</v>
      </c>
      <c r="G237" s="24">
        <v>0</v>
      </c>
      <c r="H237" s="24">
        <v>0</v>
      </c>
      <c r="I237" s="13"/>
      <c r="J237" s="10"/>
      <c r="K237" s="10"/>
      <c r="L237" s="10" t="s">
        <v>242</v>
      </c>
      <c r="M237" s="10"/>
      <c r="N237" s="11"/>
      <c r="O237" s="52"/>
      <c r="P237" s="9"/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</row>
    <row r="238" spans="1:28" x14ac:dyDescent="0.2">
      <c r="A238" s="24" t="s">
        <v>241</v>
      </c>
      <c r="B238" s="24">
        <v>2</v>
      </c>
      <c r="C238" s="24">
        <v>1</v>
      </c>
      <c r="D238" s="24">
        <v>8</v>
      </c>
      <c r="E238" s="24">
        <v>2</v>
      </c>
      <c r="F238" s="24">
        <v>2</v>
      </c>
      <c r="G238" s="24">
        <v>0</v>
      </c>
      <c r="H238" s="24">
        <v>0</v>
      </c>
      <c r="I238" s="13"/>
      <c r="J238" s="10"/>
      <c r="K238" s="10"/>
      <c r="L238" s="10" t="s">
        <v>240</v>
      </c>
      <c r="M238" s="10"/>
      <c r="N238" s="11"/>
      <c r="O238" s="52"/>
      <c r="P238" s="9"/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</row>
    <row r="239" spans="1:28" x14ac:dyDescent="0.2">
      <c r="A239" s="24" t="s">
        <v>239</v>
      </c>
      <c r="B239" s="24">
        <v>2</v>
      </c>
      <c r="C239" s="24">
        <v>1</v>
      </c>
      <c r="D239" s="24">
        <v>8</v>
      </c>
      <c r="E239" s="24">
        <v>2</v>
      </c>
      <c r="F239" s="24">
        <v>3</v>
      </c>
      <c r="G239" s="24">
        <v>0</v>
      </c>
      <c r="H239" s="24">
        <v>0</v>
      </c>
      <c r="I239" s="13"/>
      <c r="J239" s="10"/>
      <c r="K239" s="10"/>
      <c r="L239" s="10" t="s">
        <v>238</v>
      </c>
      <c r="M239" s="10"/>
      <c r="N239" s="11"/>
      <c r="O239" s="52"/>
      <c r="P239" s="9"/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</row>
    <row r="240" spans="1:28" x14ac:dyDescent="0.2">
      <c r="A240" s="33" t="s">
        <v>237</v>
      </c>
      <c r="B240" s="33">
        <v>2</v>
      </c>
      <c r="C240" s="33">
        <v>1</v>
      </c>
      <c r="D240" s="33">
        <v>8</v>
      </c>
      <c r="E240" s="33">
        <v>3</v>
      </c>
      <c r="F240" s="33">
        <v>0</v>
      </c>
      <c r="G240" s="33">
        <v>0</v>
      </c>
      <c r="H240" s="33">
        <v>0</v>
      </c>
      <c r="I240" s="19"/>
      <c r="J240" s="17"/>
      <c r="K240" s="17" t="s">
        <v>236</v>
      </c>
      <c r="L240" s="17"/>
      <c r="M240" s="17"/>
      <c r="N240" s="32"/>
      <c r="O240" s="53"/>
      <c r="P240" s="16"/>
      <c r="Q240" s="30">
        <f t="shared" ref="Q240:AB240" si="59">+Q241+Q242+Q243+Q244+Q245</f>
        <v>33715</v>
      </c>
      <c r="R240" s="30">
        <f t="shared" si="59"/>
        <v>32584</v>
      </c>
      <c r="S240" s="30">
        <f t="shared" si="59"/>
        <v>14153062</v>
      </c>
      <c r="T240" s="30">
        <f t="shared" si="59"/>
        <v>172281</v>
      </c>
      <c r="U240" s="30">
        <f t="shared" si="59"/>
        <v>159900</v>
      </c>
      <c r="V240" s="30">
        <f t="shared" si="59"/>
        <v>0</v>
      </c>
      <c r="W240" s="30">
        <f t="shared" si="59"/>
        <v>12830904</v>
      </c>
      <c r="X240" s="30">
        <f t="shared" si="59"/>
        <v>246451</v>
      </c>
      <c r="Y240" s="30">
        <f t="shared" si="59"/>
        <v>525355.82000000007</v>
      </c>
      <c r="Z240" s="30">
        <f t="shared" si="59"/>
        <v>181947</v>
      </c>
      <c r="AA240" s="30">
        <f t="shared" si="59"/>
        <v>14279970</v>
      </c>
      <c r="AB240" s="30">
        <f t="shared" si="59"/>
        <v>2194632.36</v>
      </c>
    </row>
    <row r="241" spans="1:28" x14ac:dyDescent="0.2">
      <c r="A241" s="24" t="s">
        <v>235</v>
      </c>
      <c r="B241" s="24">
        <v>2</v>
      </c>
      <c r="C241" s="24">
        <v>1</v>
      </c>
      <c r="D241" s="24">
        <v>8</v>
      </c>
      <c r="E241" s="24">
        <v>3</v>
      </c>
      <c r="F241" s="24">
        <v>1</v>
      </c>
      <c r="G241" s="24">
        <v>0</v>
      </c>
      <c r="H241" s="24">
        <v>0</v>
      </c>
      <c r="I241" s="13"/>
      <c r="J241" s="10"/>
      <c r="K241" s="10"/>
      <c r="L241" s="10" t="s">
        <v>234</v>
      </c>
      <c r="M241" s="10"/>
      <c r="N241" s="11"/>
      <c r="O241" s="52"/>
      <c r="P241" s="9"/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157490</v>
      </c>
      <c r="X241" s="8">
        <v>204058</v>
      </c>
      <c r="Y241" s="8">
        <v>292969.62</v>
      </c>
      <c r="Z241" s="8">
        <v>0</v>
      </c>
      <c r="AA241" s="8">
        <v>0</v>
      </c>
      <c r="AB241" s="8">
        <v>85403.03</v>
      </c>
    </row>
    <row r="242" spans="1:28" x14ac:dyDescent="0.2">
      <c r="A242" s="24" t="s">
        <v>233</v>
      </c>
      <c r="B242" s="24">
        <v>2</v>
      </c>
      <c r="C242" s="24">
        <v>1</v>
      </c>
      <c r="D242" s="24">
        <v>8</v>
      </c>
      <c r="E242" s="24">
        <v>3</v>
      </c>
      <c r="F242" s="24">
        <v>2</v>
      </c>
      <c r="G242" s="24">
        <v>0</v>
      </c>
      <c r="H242" s="24">
        <v>0</v>
      </c>
      <c r="I242" s="13"/>
      <c r="J242" s="10"/>
      <c r="K242" s="10"/>
      <c r="L242" s="10" t="s">
        <v>232</v>
      </c>
      <c r="M242" s="10"/>
      <c r="N242" s="11"/>
      <c r="O242" s="52"/>
      <c r="P242" s="9"/>
      <c r="Q242" s="8">
        <v>0</v>
      </c>
      <c r="R242" s="8">
        <v>0</v>
      </c>
      <c r="S242" s="8">
        <v>0</v>
      </c>
      <c r="T242" s="8">
        <v>133885</v>
      </c>
      <c r="U242" s="8">
        <v>10711</v>
      </c>
      <c r="V242" s="8">
        <v>0</v>
      </c>
      <c r="W242" s="8">
        <v>0</v>
      </c>
      <c r="X242" s="8">
        <v>0</v>
      </c>
      <c r="Y242" s="8">
        <v>232386.2</v>
      </c>
      <c r="Z242" s="8">
        <v>128959</v>
      </c>
      <c r="AA242" s="8">
        <f>91912+32985</f>
        <v>124897</v>
      </c>
      <c r="AB242" s="8">
        <v>1329.44</v>
      </c>
    </row>
    <row r="243" spans="1:28" x14ac:dyDescent="0.2">
      <c r="A243" s="24" t="s">
        <v>231</v>
      </c>
      <c r="B243" s="24">
        <v>2</v>
      </c>
      <c r="C243" s="24">
        <v>1</v>
      </c>
      <c r="D243" s="24">
        <v>8</v>
      </c>
      <c r="E243" s="24">
        <v>3</v>
      </c>
      <c r="F243" s="24">
        <v>3</v>
      </c>
      <c r="G243" s="24">
        <v>0</v>
      </c>
      <c r="H243" s="24">
        <v>0</v>
      </c>
      <c r="I243" s="13"/>
      <c r="J243" s="10"/>
      <c r="K243" s="10"/>
      <c r="L243" s="10" t="s">
        <v>230</v>
      </c>
      <c r="M243" s="10"/>
      <c r="N243" s="11"/>
      <c r="O243" s="52"/>
      <c r="P243" s="9"/>
      <c r="Q243" s="8">
        <v>8028</v>
      </c>
      <c r="R243" s="8">
        <v>32584</v>
      </c>
      <c r="S243" s="8">
        <v>14142478</v>
      </c>
      <c r="T243" s="8">
        <v>0</v>
      </c>
      <c r="U243" s="8">
        <v>12148</v>
      </c>
      <c r="V243" s="8">
        <v>0</v>
      </c>
      <c r="W243" s="8">
        <v>12673414</v>
      </c>
      <c r="X243" s="8">
        <v>25321</v>
      </c>
      <c r="Y243" s="8">
        <v>0</v>
      </c>
      <c r="Z243" s="8">
        <v>25827</v>
      </c>
      <c r="AA243" s="8">
        <v>14155073</v>
      </c>
      <c r="AB243" s="8">
        <f>1469.04+1927175.97</f>
        <v>1928645.01</v>
      </c>
    </row>
    <row r="244" spans="1:28" x14ac:dyDescent="0.2">
      <c r="A244" s="24" t="s">
        <v>229</v>
      </c>
      <c r="B244" s="24">
        <v>2</v>
      </c>
      <c r="C244" s="24">
        <v>1</v>
      </c>
      <c r="D244" s="24">
        <v>8</v>
      </c>
      <c r="E244" s="24">
        <v>3</v>
      </c>
      <c r="F244" s="24">
        <v>4</v>
      </c>
      <c r="G244" s="24">
        <v>0</v>
      </c>
      <c r="H244" s="24">
        <v>0</v>
      </c>
      <c r="I244" s="13"/>
      <c r="J244" s="10"/>
      <c r="K244" s="10"/>
      <c r="L244" s="10" t="s">
        <v>228</v>
      </c>
      <c r="M244" s="10"/>
      <c r="N244" s="11"/>
      <c r="O244" s="52"/>
      <c r="P244" s="9"/>
      <c r="Q244" s="8">
        <v>5020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89716.15</v>
      </c>
    </row>
    <row r="245" spans="1:28" x14ac:dyDescent="0.2">
      <c r="A245" s="24" t="s">
        <v>227</v>
      </c>
      <c r="B245" s="24">
        <v>2</v>
      </c>
      <c r="C245" s="24">
        <v>1</v>
      </c>
      <c r="D245" s="24">
        <v>8</v>
      </c>
      <c r="E245" s="24">
        <v>3</v>
      </c>
      <c r="F245" s="24">
        <v>5</v>
      </c>
      <c r="G245" s="24">
        <v>0</v>
      </c>
      <c r="H245" s="24">
        <v>0</v>
      </c>
      <c r="I245" s="13"/>
      <c r="J245" s="10"/>
      <c r="K245" s="10"/>
      <c r="L245" s="10" t="s">
        <v>226</v>
      </c>
      <c r="M245" s="10"/>
      <c r="N245" s="11"/>
      <c r="O245" s="52"/>
      <c r="P245" s="9"/>
      <c r="Q245" s="8">
        <v>20667</v>
      </c>
      <c r="R245" s="8">
        <v>0</v>
      </c>
      <c r="S245" s="8">
        <v>10584</v>
      </c>
      <c r="T245" s="8">
        <v>38396</v>
      </c>
      <c r="U245" s="8">
        <f>94138+42903</f>
        <v>137041</v>
      </c>
      <c r="V245" s="8">
        <v>0</v>
      </c>
      <c r="W245" s="8">
        <v>0</v>
      </c>
      <c r="X245" s="8">
        <v>17072</v>
      </c>
      <c r="Y245" s="8">
        <v>0</v>
      </c>
      <c r="Z245" s="8">
        <f>26482+679</f>
        <v>27161</v>
      </c>
      <c r="AA245" s="8">
        <v>0</v>
      </c>
      <c r="AB245" s="8">
        <f>1990.17+69068.82+18479.74</f>
        <v>89538.73000000001</v>
      </c>
    </row>
    <row r="246" spans="1:28" x14ac:dyDescent="0.2">
      <c r="A246" s="33" t="s">
        <v>225</v>
      </c>
      <c r="B246" s="33">
        <v>2</v>
      </c>
      <c r="C246" s="33">
        <v>1</v>
      </c>
      <c r="D246" s="33">
        <v>8</v>
      </c>
      <c r="E246" s="33">
        <v>4</v>
      </c>
      <c r="F246" s="33">
        <v>0</v>
      </c>
      <c r="G246" s="33">
        <v>0</v>
      </c>
      <c r="H246" s="33">
        <v>0</v>
      </c>
      <c r="I246" s="19"/>
      <c r="J246" s="17"/>
      <c r="K246" s="17" t="s">
        <v>224</v>
      </c>
      <c r="L246" s="17"/>
      <c r="M246" s="17"/>
      <c r="N246" s="32"/>
      <c r="O246" s="53"/>
      <c r="P246" s="16"/>
      <c r="Q246" s="30">
        <f t="shared" ref="Q246:AB246" si="60">+Q247+Q248+Q249</f>
        <v>0</v>
      </c>
      <c r="R246" s="30">
        <f t="shared" si="60"/>
        <v>0</v>
      </c>
      <c r="S246" s="30">
        <f t="shared" si="60"/>
        <v>0</v>
      </c>
      <c r="T246" s="30">
        <f t="shared" si="60"/>
        <v>8677268</v>
      </c>
      <c r="U246" s="30">
        <f t="shared" si="60"/>
        <v>0</v>
      </c>
      <c r="V246" s="30">
        <f t="shared" si="60"/>
        <v>0</v>
      </c>
      <c r="W246" s="30">
        <f t="shared" si="60"/>
        <v>0</v>
      </c>
      <c r="X246" s="30">
        <f t="shared" si="60"/>
        <v>7368633</v>
      </c>
      <c r="Y246" s="30">
        <f t="shared" si="60"/>
        <v>0</v>
      </c>
      <c r="Z246" s="30">
        <f t="shared" si="60"/>
        <v>0</v>
      </c>
      <c r="AA246" s="30">
        <f t="shared" si="60"/>
        <v>0</v>
      </c>
      <c r="AB246" s="30">
        <f t="shared" si="60"/>
        <v>10488058.23</v>
      </c>
    </row>
    <row r="247" spans="1:28" x14ac:dyDescent="0.2">
      <c r="A247" s="24" t="s">
        <v>223</v>
      </c>
      <c r="B247" s="24">
        <v>2</v>
      </c>
      <c r="C247" s="24">
        <v>1</v>
      </c>
      <c r="D247" s="24">
        <v>8</v>
      </c>
      <c r="E247" s="24">
        <v>4</v>
      </c>
      <c r="F247" s="24">
        <v>1</v>
      </c>
      <c r="G247" s="24">
        <v>0</v>
      </c>
      <c r="H247" s="24">
        <v>0</v>
      </c>
      <c r="I247" s="13"/>
      <c r="J247" s="10"/>
      <c r="K247" s="10"/>
      <c r="L247" s="10" t="s">
        <v>222</v>
      </c>
      <c r="M247" s="10"/>
      <c r="N247" s="11"/>
      <c r="O247" s="52"/>
      <c r="P247" s="9"/>
      <c r="Q247" s="8">
        <v>0</v>
      </c>
      <c r="R247" s="8">
        <v>0</v>
      </c>
      <c r="S247" s="8">
        <v>0</v>
      </c>
      <c r="T247" s="8">
        <v>8677268</v>
      </c>
      <c r="U247" s="8">
        <v>0</v>
      </c>
      <c r="V247" s="8">
        <v>0</v>
      </c>
      <c r="W247" s="8">
        <v>0</v>
      </c>
      <c r="X247" s="8">
        <v>7368633</v>
      </c>
      <c r="Y247" s="8">
        <v>0</v>
      </c>
      <c r="Z247" s="8">
        <v>0</v>
      </c>
      <c r="AA247" s="8">
        <v>0</v>
      </c>
      <c r="AB247" s="8">
        <v>10488058.23</v>
      </c>
    </row>
    <row r="248" spans="1:28" x14ac:dyDescent="0.2">
      <c r="A248" s="24" t="s">
        <v>221</v>
      </c>
      <c r="B248" s="24">
        <v>2</v>
      </c>
      <c r="C248" s="24">
        <v>1</v>
      </c>
      <c r="D248" s="24">
        <v>8</v>
      </c>
      <c r="E248" s="24">
        <v>4</v>
      </c>
      <c r="F248" s="24">
        <v>2</v>
      </c>
      <c r="G248" s="24">
        <v>0</v>
      </c>
      <c r="H248" s="24">
        <v>0</v>
      </c>
      <c r="I248" s="13"/>
      <c r="J248" s="10"/>
      <c r="K248" s="10"/>
      <c r="L248" s="10" t="s">
        <v>220</v>
      </c>
      <c r="M248" s="10"/>
      <c r="N248" s="11"/>
      <c r="O248" s="52"/>
      <c r="P248" s="9"/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</row>
    <row r="249" spans="1:28" x14ac:dyDescent="0.2">
      <c r="A249" s="24" t="s">
        <v>219</v>
      </c>
      <c r="B249" s="24">
        <v>2</v>
      </c>
      <c r="C249" s="24">
        <v>1</v>
      </c>
      <c r="D249" s="24">
        <v>8</v>
      </c>
      <c r="E249" s="24">
        <v>4</v>
      </c>
      <c r="F249" s="24">
        <v>3</v>
      </c>
      <c r="G249" s="24">
        <v>0</v>
      </c>
      <c r="H249" s="24">
        <v>0</v>
      </c>
      <c r="I249" s="13"/>
      <c r="J249" s="10"/>
      <c r="K249" s="10"/>
      <c r="L249" s="10" t="s">
        <v>218</v>
      </c>
      <c r="M249" s="10"/>
      <c r="N249" s="11"/>
      <c r="O249" s="52"/>
      <c r="P249" s="9"/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</row>
    <row r="250" spans="1:28" x14ac:dyDescent="0.2">
      <c r="A250" s="33" t="s">
        <v>217</v>
      </c>
      <c r="B250" s="33">
        <v>2</v>
      </c>
      <c r="C250" s="33">
        <v>1</v>
      </c>
      <c r="D250" s="33">
        <v>8</v>
      </c>
      <c r="E250" s="33">
        <v>5</v>
      </c>
      <c r="F250" s="33">
        <v>0</v>
      </c>
      <c r="G250" s="33">
        <v>0</v>
      </c>
      <c r="H250" s="33">
        <v>0</v>
      </c>
      <c r="I250" s="19"/>
      <c r="J250" s="17"/>
      <c r="K250" s="17" t="s">
        <v>216</v>
      </c>
      <c r="L250" s="17"/>
      <c r="M250" s="17"/>
      <c r="N250" s="32"/>
      <c r="O250" s="53"/>
      <c r="P250" s="16"/>
      <c r="Q250" s="30">
        <f t="shared" ref="Q250:AB250" si="61">+Q251+Q252</f>
        <v>0</v>
      </c>
      <c r="R250" s="30">
        <f t="shared" si="61"/>
        <v>0</v>
      </c>
      <c r="S250" s="30">
        <f t="shared" si="61"/>
        <v>0</v>
      </c>
      <c r="T250" s="30">
        <f t="shared" si="61"/>
        <v>0</v>
      </c>
      <c r="U250" s="30">
        <f t="shared" si="61"/>
        <v>0</v>
      </c>
      <c r="V250" s="30">
        <f t="shared" si="61"/>
        <v>0</v>
      </c>
      <c r="W250" s="30">
        <f t="shared" si="61"/>
        <v>0</v>
      </c>
      <c r="X250" s="30">
        <f t="shared" si="61"/>
        <v>0</v>
      </c>
      <c r="Y250" s="30">
        <f t="shared" si="61"/>
        <v>0</v>
      </c>
      <c r="Z250" s="30">
        <f t="shared" si="61"/>
        <v>0</v>
      </c>
      <c r="AA250" s="30">
        <f t="shared" si="61"/>
        <v>0</v>
      </c>
      <c r="AB250" s="30">
        <f t="shared" si="61"/>
        <v>0</v>
      </c>
    </row>
    <row r="251" spans="1:28" x14ac:dyDescent="0.2">
      <c r="A251" s="24" t="s">
        <v>215</v>
      </c>
      <c r="B251" s="24">
        <v>2</v>
      </c>
      <c r="C251" s="24">
        <v>1</v>
      </c>
      <c r="D251" s="24">
        <v>8</v>
      </c>
      <c r="E251" s="24">
        <v>5</v>
      </c>
      <c r="F251" s="24">
        <v>1</v>
      </c>
      <c r="G251" s="24">
        <v>0</v>
      </c>
      <c r="H251" s="24">
        <v>0</v>
      </c>
      <c r="I251" s="13"/>
      <c r="J251" s="10"/>
      <c r="K251" s="10"/>
      <c r="L251" s="10" t="s">
        <v>214</v>
      </c>
      <c r="M251" s="10"/>
      <c r="N251" s="11"/>
      <c r="O251" s="52"/>
      <c r="P251" s="9"/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</row>
    <row r="252" spans="1:28" x14ac:dyDescent="0.2">
      <c r="A252" s="24" t="s">
        <v>213</v>
      </c>
      <c r="B252" s="24">
        <v>2</v>
      </c>
      <c r="C252" s="24">
        <v>1</v>
      </c>
      <c r="D252" s="24">
        <v>8</v>
      </c>
      <c r="E252" s="24">
        <v>5</v>
      </c>
      <c r="F252" s="24">
        <v>2</v>
      </c>
      <c r="G252" s="24">
        <v>0</v>
      </c>
      <c r="H252" s="24">
        <v>0</v>
      </c>
      <c r="I252" s="13"/>
      <c r="J252" s="10"/>
      <c r="K252" s="10"/>
      <c r="L252" s="10" t="s">
        <v>212</v>
      </c>
      <c r="M252" s="10"/>
      <c r="N252" s="11"/>
      <c r="O252" s="52"/>
      <c r="P252" s="9"/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</row>
    <row r="253" spans="1:28" x14ac:dyDescent="0.2">
      <c r="A253" s="24" t="s">
        <v>211</v>
      </c>
      <c r="B253" s="24">
        <v>2</v>
      </c>
      <c r="C253" s="24">
        <v>1</v>
      </c>
      <c r="D253" s="24">
        <v>8</v>
      </c>
      <c r="E253" s="24">
        <v>6</v>
      </c>
      <c r="F253" s="24">
        <v>0</v>
      </c>
      <c r="G253" s="24">
        <v>0</v>
      </c>
      <c r="H253" s="24">
        <v>0</v>
      </c>
      <c r="I253" s="13"/>
      <c r="J253" s="10"/>
      <c r="K253" s="10" t="s">
        <v>210</v>
      </c>
      <c r="L253" s="10"/>
      <c r="M253" s="10"/>
      <c r="N253" s="11"/>
      <c r="O253" s="52"/>
      <c r="P253" s="9"/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</row>
    <row r="254" spans="1:28" x14ac:dyDescent="0.2">
      <c r="A254" s="24" t="s">
        <v>209</v>
      </c>
      <c r="B254" s="24">
        <v>2</v>
      </c>
      <c r="C254" s="24">
        <v>1</v>
      </c>
      <c r="D254" s="24">
        <v>8</v>
      </c>
      <c r="E254" s="24">
        <v>7</v>
      </c>
      <c r="F254" s="24">
        <v>0</v>
      </c>
      <c r="G254" s="24">
        <v>0</v>
      </c>
      <c r="H254" s="24">
        <v>0</v>
      </c>
      <c r="I254" s="13"/>
      <c r="J254" s="10"/>
      <c r="K254" s="10" t="s">
        <v>208</v>
      </c>
      <c r="L254" s="10"/>
      <c r="M254" s="10"/>
      <c r="N254" s="11"/>
      <c r="O254" s="52"/>
      <c r="P254" s="9"/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577.91999999999996</v>
      </c>
    </row>
    <row r="255" spans="1:28" x14ac:dyDescent="0.2">
      <c r="A255" s="24" t="s">
        <v>207</v>
      </c>
      <c r="B255" s="24">
        <v>2</v>
      </c>
      <c r="C255" s="24">
        <v>1</v>
      </c>
      <c r="D255" s="24">
        <v>8</v>
      </c>
      <c r="E255" s="24">
        <v>8</v>
      </c>
      <c r="F255" s="24">
        <v>0</v>
      </c>
      <c r="G255" s="24">
        <v>0</v>
      </c>
      <c r="H255" s="24">
        <v>0</v>
      </c>
      <c r="I255" s="13"/>
      <c r="J255" s="10"/>
      <c r="K255" s="10" t="s">
        <v>206</v>
      </c>
      <c r="L255" s="10"/>
      <c r="M255" s="10"/>
      <c r="N255" s="11"/>
      <c r="O255" s="52"/>
      <c r="P255" s="9"/>
      <c r="Q255" s="8">
        <v>29577</v>
      </c>
      <c r="R255" s="8">
        <v>28521</v>
      </c>
      <c r="S255" s="8">
        <f>30096</f>
        <v>30096</v>
      </c>
      <c r="T255" s="8">
        <v>4745211.45</v>
      </c>
      <c r="U255" s="8">
        <v>177216.48</v>
      </c>
      <c r="V255" s="8">
        <v>26000</v>
      </c>
      <c r="W255" s="8">
        <v>29296</v>
      </c>
      <c r="X255" s="8">
        <f>25800+446692.52</f>
        <v>472492.52</v>
      </c>
      <c r="Y255" s="8">
        <f>57046.44+75308-129.28-40</f>
        <v>132185.16</v>
      </c>
      <c r="Z255" s="8">
        <f>67563+95552.99</f>
        <v>163115.99</v>
      </c>
      <c r="AA255" s="8">
        <v>49538</v>
      </c>
      <c r="AB255" s="8">
        <v>28700</v>
      </c>
    </row>
    <row r="256" spans="1:28" x14ac:dyDescent="0.2">
      <c r="A256" s="20" t="s">
        <v>205</v>
      </c>
      <c r="B256" s="20">
        <v>2</v>
      </c>
      <c r="C256" s="20">
        <v>2</v>
      </c>
      <c r="D256" s="20">
        <v>9</v>
      </c>
      <c r="E256" s="20">
        <v>0</v>
      </c>
      <c r="F256" s="20">
        <v>0</v>
      </c>
      <c r="G256" s="20">
        <v>0</v>
      </c>
      <c r="H256" s="20">
        <v>0</v>
      </c>
      <c r="I256" s="19"/>
      <c r="J256" s="26" t="s">
        <v>204</v>
      </c>
      <c r="K256" s="17"/>
      <c r="L256" s="17"/>
      <c r="M256" s="32"/>
      <c r="N256" s="17"/>
      <c r="O256" s="17"/>
      <c r="P256" s="16"/>
      <c r="Q256" s="15">
        <f t="shared" ref="Q256:AB256" si="62">+Q257+Q262+Q263+Q264+Q265+Q266</f>
        <v>2499675</v>
      </c>
      <c r="R256" s="15">
        <f t="shared" si="62"/>
        <v>2430922</v>
      </c>
      <c r="S256" s="15">
        <f t="shared" si="62"/>
        <v>2703085</v>
      </c>
      <c r="T256" s="15">
        <f t="shared" si="62"/>
        <v>3022340</v>
      </c>
      <c r="U256" s="15">
        <f t="shared" si="62"/>
        <v>2062721</v>
      </c>
      <c r="V256" s="15">
        <f t="shared" si="62"/>
        <v>2422955</v>
      </c>
      <c r="W256" s="15">
        <f t="shared" si="62"/>
        <v>2294774</v>
      </c>
      <c r="X256" s="15">
        <f t="shared" si="62"/>
        <v>1911910</v>
      </c>
      <c r="Y256" s="15">
        <f t="shared" si="62"/>
        <v>4047810.54</v>
      </c>
      <c r="Z256" s="15">
        <f t="shared" si="62"/>
        <v>1785991</v>
      </c>
      <c r="AA256" s="15">
        <f t="shared" si="62"/>
        <v>2131246</v>
      </c>
      <c r="AB256" s="15">
        <f t="shared" si="62"/>
        <v>2130746.73</v>
      </c>
    </row>
    <row r="257" spans="1:28" x14ac:dyDescent="0.2">
      <c r="A257" s="33" t="s">
        <v>203</v>
      </c>
      <c r="B257" s="33">
        <v>2</v>
      </c>
      <c r="C257" s="33">
        <v>2</v>
      </c>
      <c r="D257" s="33">
        <v>9</v>
      </c>
      <c r="E257" s="33">
        <v>1</v>
      </c>
      <c r="F257" s="33">
        <v>0</v>
      </c>
      <c r="G257" s="33">
        <v>0</v>
      </c>
      <c r="H257" s="33">
        <v>0</v>
      </c>
      <c r="I257" s="19"/>
      <c r="J257" s="17"/>
      <c r="K257" s="17" t="s">
        <v>202</v>
      </c>
      <c r="L257" s="17"/>
      <c r="M257" s="32"/>
      <c r="N257" s="17"/>
      <c r="O257" s="17"/>
      <c r="P257" s="16"/>
      <c r="Q257" s="30">
        <f t="shared" ref="Q257:AB257" si="63">+Q258+Q259+Q260+Q261</f>
        <v>2499675</v>
      </c>
      <c r="R257" s="30">
        <f t="shared" si="63"/>
        <v>2430922</v>
      </c>
      <c r="S257" s="30">
        <f t="shared" si="63"/>
        <v>2699255</v>
      </c>
      <c r="T257" s="30">
        <f t="shared" si="63"/>
        <v>3022340</v>
      </c>
      <c r="U257" s="30">
        <f t="shared" si="63"/>
        <v>1997127</v>
      </c>
      <c r="V257" s="30">
        <f t="shared" si="63"/>
        <v>2422955</v>
      </c>
      <c r="W257" s="30">
        <f t="shared" si="63"/>
        <v>2288751</v>
      </c>
      <c r="X257" s="30">
        <f t="shared" si="63"/>
        <v>1888091</v>
      </c>
      <c r="Y257" s="30">
        <f t="shared" si="63"/>
        <v>4047810.54</v>
      </c>
      <c r="Z257" s="30">
        <f t="shared" si="63"/>
        <v>1785991</v>
      </c>
      <c r="AA257" s="30">
        <f t="shared" si="63"/>
        <v>2129303</v>
      </c>
      <c r="AB257" s="30">
        <f t="shared" si="63"/>
        <v>1870033.8499999999</v>
      </c>
    </row>
    <row r="258" spans="1:28" x14ac:dyDescent="0.2">
      <c r="A258" s="24" t="s">
        <v>201</v>
      </c>
      <c r="B258" s="24">
        <v>2</v>
      </c>
      <c r="C258" s="24">
        <v>2</v>
      </c>
      <c r="D258" s="24">
        <v>9</v>
      </c>
      <c r="E258" s="24">
        <v>1</v>
      </c>
      <c r="F258" s="24">
        <v>1</v>
      </c>
      <c r="G258" s="24">
        <v>0</v>
      </c>
      <c r="H258" s="24">
        <v>0</v>
      </c>
      <c r="I258" s="13"/>
      <c r="J258" s="10"/>
      <c r="K258" s="10"/>
      <c r="L258" s="10" t="s">
        <v>200</v>
      </c>
      <c r="M258" s="11"/>
      <c r="N258" s="10"/>
      <c r="O258" s="10"/>
      <c r="P258" s="9"/>
      <c r="Q258" s="8">
        <v>0</v>
      </c>
      <c r="R258" s="8">
        <v>0</v>
      </c>
      <c r="S258" s="8">
        <v>0</v>
      </c>
      <c r="T258" s="8">
        <f>18400</f>
        <v>18400</v>
      </c>
      <c r="U258" s="8">
        <v>3150</v>
      </c>
      <c r="V258" s="8">
        <v>1440</v>
      </c>
      <c r="W258" s="8">
        <v>22328</v>
      </c>
      <c r="X258" s="8">
        <f>28688+9610</f>
        <v>38298</v>
      </c>
      <c r="Y258" s="8">
        <v>34131.47</v>
      </c>
      <c r="Z258" s="8">
        <v>0</v>
      </c>
      <c r="AA258" s="8">
        <f>13524+9200</f>
        <v>22724</v>
      </c>
      <c r="AB258" s="8">
        <f>508+13216.82</f>
        <v>13724.82</v>
      </c>
    </row>
    <row r="259" spans="1:28" x14ac:dyDescent="0.2">
      <c r="A259" s="24" t="s">
        <v>199</v>
      </c>
      <c r="B259" s="24">
        <v>2</v>
      </c>
      <c r="C259" s="24">
        <v>2</v>
      </c>
      <c r="D259" s="24">
        <v>9</v>
      </c>
      <c r="E259" s="24">
        <v>1</v>
      </c>
      <c r="F259" s="24">
        <v>2</v>
      </c>
      <c r="G259" s="24">
        <v>0</v>
      </c>
      <c r="H259" s="24">
        <v>0</v>
      </c>
      <c r="I259" s="13"/>
      <c r="J259" s="10"/>
      <c r="K259" s="10"/>
      <c r="L259" s="10" t="s">
        <v>198</v>
      </c>
      <c r="M259" s="11"/>
      <c r="N259" s="10"/>
      <c r="O259" s="10"/>
      <c r="P259" s="9"/>
      <c r="Q259" s="8">
        <f>80091+585345</f>
        <v>665436</v>
      </c>
      <c r="R259" s="8">
        <v>188004</v>
      </c>
      <c r="S259" s="8">
        <v>33941</v>
      </c>
      <c r="T259" s="8">
        <f>22965+2484</f>
        <v>25449</v>
      </c>
      <c r="U259" s="8">
        <v>119301</v>
      </c>
      <c r="V259" s="8">
        <v>0</v>
      </c>
      <c r="W259" s="8">
        <v>0</v>
      </c>
      <c r="X259" s="8">
        <v>56891</v>
      </c>
      <c r="Y259" s="8">
        <v>37955.379999999997</v>
      </c>
      <c r="Z259" s="8">
        <f>30766+4559</f>
        <v>35325</v>
      </c>
      <c r="AA259" s="8">
        <v>119394</v>
      </c>
      <c r="AB259" s="8">
        <f>109164.21+0.69</f>
        <v>109164.90000000001</v>
      </c>
    </row>
    <row r="260" spans="1:28" x14ac:dyDescent="0.2">
      <c r="A260" s="24" t="s">
        <v>197</v>
      </c>
      <c r="B260" s="24">
        <v>2</v>
      </c>
      <c r="C260" s="24">
        <v>2</v>
      </c>
      <c r="D260" s="24">
        <v>9</v>
      </c>
      <c r="E260" s="24">
        <v>1</v>
      </c>
      <c r="F260" s="24">
        <v>3</v>
      </c>
      <c r="G260" s="24">
        <v>0</v>
      </c>
      <c r="H260" s="24">
        <v>0</v>
      </c>
      <c r="I260" s="13"/>
      <c r="J260" s="10"/>
      <c r="K260" s="10"/>
      <c r="L260" s="10" t="s">
        <v>196</v>
      </c>
      <c r="M260" s="11"/>
      <c r="N260" s="10"/>
      <c r="O260" s="10"/>
      <c r="P260" s="9"/>
      <c r="Q260" s="8">
        <v>1834239</v>
      </c>
      <c r="R260" s="8">
        <v>2242918</v>
      </c>
      <c r="S260" s="8">
        <v>2665314</v>
      </c>
      <c r="T260" s="8">
        <v>2978491</v>
      </c>
      <c r="U260" s="8">
        <v>1874676</v>
      </c>
      <c r="V260" s="8">
        <v>2421515</v>
      </c>
      <c r="W260" s="8">
        <v>2266423</v>
      </c>
      <c r="X260" s="8">
        <v>1792902</v>
      </c>
      <c r="Y260" s="8">
        <v>3975723.69</v>
      </c>
      <c r="Z260" s="8">
        <v>1750666</v>
      </c>
      <c r="AA260" s="8">
        <v>1987185</v>
      </c>
      <c r="AB260" s="8">
        <v>1747144.13</v>
      </c>
    </row>
    <row r="261" spans="1:28" x14ac:dyDescent="0.2">
      <c r="A261" s="24" t="s">
        <v>195</v>
      </c>
      <c r="B261" s="24">
        <v>2</v>
      </c>
      <c r="C261" s="24">
        <v>2</v>
      </c>
      <c r="D261" s="24">
        <v>9</v>
      </c>
      <c r="E261" s="24">
        <v>1</v>
      </c>
      <c r="F261" s="24">
        <v>4</v>
      </c>
      <c r="G261" s="24">
        <v>0</v>
      </c>
      <c r="H261" s="24">
        <v>0</v>
      </c>
      <c r="I261" s="13"/>
      <c r="J261" s="10"/>
      <c r="K261" s="10"/>
      <c r="L261" s="10" t="s">
        <v>194</v>
      </c>
      <c r="M261" s="11"/>
      <c r="N261" s="10"/>
      <c r="O261" s="10"/>
      <c r="P261" s="9"/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</row>
    <row r="262" spans="1:28" x14ac:dyDescent="0.2">
      <c r="A262" s="24" t="s">
        <v>193</v>
      </c>
      <c r="B262" s="24">
        <v>2</v>
      </c>
      <c r="C262" s="24">
        <v>2</v>
      </c>
      <c r="D262" s="24">
        <v>9</v>
      </c>
      <c r="E262" s="24">
        <v>2</v>
      </c>
      <c r="F262" s="24">
        <v>0</v>
      </c>
      <c r="G262" s="24">
        <v>0</v>
      </c>
      <c r="H262" s="24">
        <v>0</v>
      </c>
      <c r="I262" s="13"/>
      <c r="J262" s="10"/>
      <c r="K262" s="10" t="s">
        <v>192</v>
      </c>
      <c r="L262" s="10"/>
      <c r="M262" s="11"/>
      <c r="N262" s="10"/>
      <c r="O262" s="10"/>
      <c r="P262" s="9"/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</row>
    <row r="263" spans="1:28" x14ac:dyDescent="0.2">
      <c r="A263" s="24" t="s">
        <v>191</v>
      </c>
      <c r="B263" s="24">
        <v>2</v>
      </c>
      <c r="C263" s="24">
        <v>2</v>
      </c>
      <c r="D263" s="24">
        <v>9</v>
      </c>
      <c r="E263" s="24">
        <v>3</v>
      </c>
      <c r="F263" s="24">
        <v>0</v>
      </c>
      <c r="G263" s="24">
        <v>0</v>
      </c>
      <c r="H263" s="24">
        <v>0</v>
      </c>
      <c r="I263" s="13"/>
      <c r="J263" s="10"/>
      <c r="K263" s="10" t="s">
        <v>190</v>
      </c>
      <c r="L263" s="10"/>
      <c r="M263" s="11"/>
      <c r="N263" s="10"/>
      <c r="O263" s="10"/>
      <c r="P263" s="9"/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</row>
    <row r="264" spans="1:28" x14ac:dyDescent="0.2">
      <c r="A264" s="24" t="s">
        <v>189</v>
      </c>
      <c r="B264" s="24">
        <v>2</v>
      </c>
      <c r="C264" s="24">
        <v>2</v>
      </c>
      <c r="D264" s="24">
        <v>9</v>
      </c>
      <c r="E264" s="24">
        <v>4</v>
      </c>
      <c r="F264" s="24">
        <v>0</v>
      </c>
      <c r="G264" s="24">
        <v>0</v>
      </c>
      <c r="H264" s="24">
        <v>0</v>
      </c>
      <c r="I264" s="13"/>
      <c r="J264" s="10"/>
      <c r="K264" s="10" t="s">
        <v>188</v>
      </c>
      <c r="L264" s="10"/>
      <c r="M264" s="11"/>
      <c r="N264" s="10"/>
      <c r="O264" s="10"/>
      <c r="P264" s="9"/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</row>
    <row r="265" spans="1:28" x14ac:dyDescent="0.2">
      <c r="A265" s="24" t="s">
        <v>187</v>
      </c>
      <c r="B265" s="24">
        <v>2</v>
      </c>
      <c r="C265" s="24">
        <v>2</v>
      </c>
      <c r="D265" s="24">
        <v>9</v>
      </c>
      <c r="E265" s="24">
        <v>5</v>
      </c>
      <c r="F265" s="24">
        <v>0</v>
      </c>
      <c r="G265" s="24">
        <v>0</v>
      </c>
      <c r="H265" s="24">
        <v>0</v>
      </c>
      <c r="I265" s="13"/>
      <c r="J265" s="10"/>
      <c r="K265" s="10" t="s">
        <v>186</v>
      </c>
      <c r="L265" s="10"/>
      <c r="M265" s="11"/>
      <c r="N265" s="10"/>
      <c r="O265" s="10"/>
      <c r="P265" s="9"/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</row>
    <row r="266" spans="1:28" x14ac:dyDescent="0.2">
      <c r="A266" s="24" t="s">
        <v>185</v>
      </c>
      <c r="B266" s="24">
        <v>2</v>
      </c>
      <c r="C266" s="24">
        <v>2</v>
      </c>
      <c r="D266" s="24">
        <v>9</v>
      </c>
      <c r="E266" s="24">
        <v>6</v>
      </c>
      <c r="F266" s="24">
        <v>0</v>
      </c>
      <c r="G266" s="24">
        <v>0</v>
      </c>
      <c r="H266" s="24">
        <v>0</v>
      </c>
      <c r="I266" s="13"/>
      <c r="J266" s="10"/>
      <c r="K266" s="10" t="s">
        <v>184</v>
      </c>
      <c r="L266" s="10"/>
      <c r="M266" s="11"/>
      <c r="N266" s="10"/>
      <c r="O266" s="10"/>
      <c r="P266" s="9"/>
      <c r="Q266" s="8">
        <v>0</v>
      </c>
      <c r="R266" s="8">
        <v>0</v>
      </c>
      <c r="S266" s="8">
        <v>3830</v>
      </c>
      <c r="T266" s="8">
        <v>0</v>
      </c>
      <c r="U266" s="8">
        <v>65594</v>
      </c>
      <c r="V266" s="8">
        <v>0</v>
      </c>
      <c r="W266" s="8">
        <v>6023</v>
      </c>
      <c r="X266" s="8">
        <f>4647+19172</f>
        <v>23819</v>
      </c>
      <c r="Y266" s="8">
        <v>0</v>
      </c>
      <c r="Z266" s="8">
        <v>0</v>
      </c>
      <c r="AA266" s="8">
        <v>1943</v>
      </c>
      <c r="AB266" s="8">
        <v>260712.88</v>
      </c>
    </row>
    <row r="267" spans="1:28" x14ac:dyDescent="0.2">
      <c r="A267" s="20" t="s">
        <v>183</v>
      </c>
      <c r="B267" s="20">
        <v>2</v>
      </c>
      <c r="C267" s="20">
        <v>6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19"/>
      <c r="J267" s="26" t="s">
        <v>182</v>
      </c>
      <c r="K267" s="17"/>
      <c r="L267" s="17"/>
      <c r="M267" s="17"/>
      <c r="N267" s="53"/>
      <c r="O267" s="17"/>
      <c r="P267" s="16"/>
      <c r="Q267" s="15">
        <f t="shared" ref="Q267:AB267" si="64">+Q268+Q286</f>
        <v>0</v>
      </c>
      <c r="R267" s="15">
        <f t="shared" si="64"/>
        <v>0</v>
      </c>
      <c r="S267" s="15">
        <f t="shared" si="64"/>
        <v>0</v>
      </c>
      <c r="T267" s="15">
        <f t="shared" si="64"/>
        <v>0</v>
      </c>
      <c r="U267" s="15">
        <f t="shared" si="64"/>
        <v>0</v>
      </c>
      <c r="V267" s="15">
        <f t="shared" si="64"/>
        <v>0</v>
      </c>
      <c r="W267" s="15">
        <f t="shared" si="64"/>
        <v>0</v>
      </c>
      <c r="X267" s="15">
        <f t="shared" si="64"/>
        <v>0</v>
      </c>
      <c r="Y267" s="15">
        <f t="shared" si="64"/>
        <v>0</v>
      </c>
      <c r="Z267" s="15">
        <f t="shared" si="64"/>
        <v>0</v>
      </c>
      <c r="AA267" s="15">
        <f t="shared" si="64"/>
        <v>0</v>
      </c>
      <c r="AB267" s="15">
        <f t="shared" si="64"/>
        <v>0</v>
      </c>
    </row>
    <row r="268" spans="1:28" x14ac:dyDescent="0.2">
      <c r="A268" s="33" t="s">
        <v>181</v>
      </c>
      <c r="B268" s="33">
        <v>2</v>
      </c>
      <c r="C268" s="33">
        <v>6</v>
      </c>
      <c r="D268" s="33">
        <v>1</v>
      </c>
      <c r="E268" s="33">
        <v>0</v>
      </c>
      <c r="F268" s="33">
        <v>0</v>
      </c>
      <c r="G268" s="33">
        <v>0</v>
      </c>
      <c r="H268" s="33">
        <v>0</v>
      </c>
      <c r="I268" s="19"/>
      <c r="J268" s="17"/>
      <c r="K268" s="17" t="s">
        <v>180</v>
      </c>
      <c r="L268" s="17"/>
      <c r="M268" s="17"/>
      <c r="N268" s="53"/>
      <c r="O268" s="17"/>
      <c r="P268" s="16"/>
      <c r="Q268" s="30">
        <f t="shared" ref="Q268:AB268" si="65">+Q269+Q270+Q271+Q275+Q279+Q282+Q285</f>
        <v>0</v>
      </c>
      <c r="R268" s="30">
        <f t="shared" si="65"/>
        <v>0</v>
      </c>
      <c r="S268" s="30">
        <f t="shared" si="65"/>
        <v>0</v>
      </c>
      <c r="T268" s="30">
        <f t="shared" si="65"/>
        <v>0</v>
      </c>
      <c r="U268" s="30">
        <f t="shared" si="65"/>
        <v>0</v>
      </c>
      <c r="V268" s="30">
        <f t="shared" si="65"/>
        <v>0</v>
      </c>
      <c r="W268" s="30">
        <f t="shared" si="65"/>
        <v>0</v>
      </c>
      <c r="X268" s="30">
        <f t="shared" si="65"/>
        <v>0</v>
      </c>
      <c r="Y268" s="30">
        <f t="shared" si="65"/>
        <v>0</v>
      </c>
      <c r="Z268" s="30">
        <f t="shared" si="65"/>
        <v>0</v>
      </c>
      <c r="AA268" s="30">
        <f t="shared" si="65"/>
        <v>0</v>
      </c>
      <c r="AB268" s="30">
        <f t="shared" si="65"/>
        <v>0</v>
      </c>
    </row>
    <row r="269" spans="1:28" x14ac:dyDescent="0.2">
      <c r="A269" s="24" t="s">
        <v>179</v>
      </c>
      <c r="B269" s="24">
        <v>2</v>
      </c>
      <c r="C269" s="24">
        <v>6</v>
      </c>
      <c r="D269" s="24">
        <v>1</v>
      </c>
      <c r="E269" s="24">
        <v>3</v>
      </c>
      <c r="F269" s="24">
        <v>0</v>
      </c>
      <c r="G269" s="24">
        <v>0</v>
      </c>
      <c r="H269" s="24">
        <v>0</v>
      </c>
      <c r="I269" s="13"/>
      <c r="J269" s="10"/>
      <c r="K269" s="10"/>
      <c r="L269" s="10" t="s">
        <v>178</v>
      </c>
      <c r="M269" s="10"/>
      <c r="N269" s="52"/>
      <c r="O269" s="10"/>
      <c r="P269" s="9"/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</row>
    <row r="270" spans="1:28" x14ac:dyDescent="0.2">
      <c r="A270" s="24" t="s">
        <v>177</v>
      </c>
      <c r="B270" s="24">
        <v>2</v>
      </c>
      <c r="C270" s="24">
        <v>6</v>
      </c>
      <c r="D270" s="24">
        <v>1</v>
      </c>
      <c r="E270" s="24">
        <v>4</v>
      </c>
      <c r="F270" s="24">
        <v>0</v>
      </c>
      <c r="G270" s="24">
        <v>0</v>
      </c>
      <c r="H270" s="24">
        <v>0</v>
      </c>
      <c r="I270" s="13"/>
      <c r="J270" s="10"/>
      <c r="K270" s="10"/>
      <c r="L270" s="10" t="s">
        <v>176</v>
      </c>
      <c r="M270" s="10"/>
      <c r="N270" s="52"/>
      <c r="O270" s="10"/>
      <c r="P270" s="9"/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</row>
    <row r="271" spans="1:28" x14ac:dyDescent="0.2">
      <c r="A271" s="33" t="s">
        <v>175</v>
      </c>
      <c r="B271" s="33">
        <v>2</v>
      </c>
      <c r="C271" s="33">
        <v>6</v>
      </c>
      <c r="D271" s="33">
        <v>1</v>
      </c>
      <c r="E271" s="33">
        <v>6</v>
      </c>
      <c r="F271" s="33">
        <v>0</v>
      </c>
      <c r="G271" s="33">
        <v>0</v>
      </c>
      <c r="H271" s="33">
        <v>0</v>
      </c>
      <c r="I271" s="19"/>
      <c r="J271" s="17"/>
      <c r="K271" s="17"/>
      <c r="L271" s="17" t="s">
        <v>174</v>
      </c>
      <c r="M271" s="17"/>
      <c r="N271" s="53"/>
      <c r="O271" s="17"/>
      <c r="P271" s="16"/>
      <c r="Q271" s="30">
        <f t="shared" ref="Q271:AB271" si="66">+Q272+Q273+Q274</f>
        <v>0</v>
      </c>
      <c r="R271" s="30">
        <f t="shared" si="66"/>
        <v>0</v>
      </c>
      <c r="S271" s="30">
        <f t="shared" si="66"/>
        <v>0</v>
      </c>
      <c r="T271" s="30">
        <f t="shared" si="66"/>
        <v>0</v>
      </c>
      <c r="U271" s="30">
        <f t="shared" si="66"/>
        <v>0</v>
      </c>
      <c r="V271" s="30">
        <f t="shared" si="66"/>
        <v>0</v>
      </c>
      <c r="W271" s="30">
        <f t="shared" si="66"/>
        <v>0</v>
      </c>
      <c r="X271" s="30">
        <f t="shared" si="66"/>
        <v>0</v>
      </c>
      <c r="Y271" s="30">
        <f t="shared" si="66"/>
        <v>0</v>
      </c>
      <c r="Z271" s="30">
        <f t="shared" si="66"/>
        <v>0</v>
      </c>
      <c r="AA271" s="30">
        <f t="shared" si="66"/>
        <v>0</v>
      </c>
      <c r="AB271" s="30">
        <f t="shared" si="66"/>
        <v>0</v>
      </c>
    </row>
    <row r="272" spans="1:28" x14ac:dyDescent="0.2">
      <c r="A272" s="24" t="s">
        <v>173</v>
      </c>
      <c r="B272" s="24">
        <v>2</v>
      </c>
      <c r="C272" s="24">
        <v>6</v>
      </c>
      <c r="D272" s="24">
        <v>1</v>
      </c>
      <c r="E272" s="24">
        <v>6</v>
      </c>
      <c r="F272" s="24">
        <v>1</v>
      </c>
      <c r="G272" s="24">
        <v>0</v>
      </c>
      <c r="H272" s="24">
        <v>0</v>
      </c>
      <c r="I272" s="13"/>
      <c r="J272" s="10"/>
      <c r="K272" s="10"/>
      <c r="L272" s="10"/>
      <c r="M272" s="10" t="s">
        <v>172</v>
      </c>
      <c r="N272" s="52"/>
      <c r="O272" s="10"/>
      <c r="P272" s="9"/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</row>
    <row r="273" spans="1:28" x14ac:dyDescent="0.2">
      <c r="A273" s="24" t="s">
        <v>171</v>
      </c>
      <c r="B273" s="24">
        <v>2</v>
      </c>
      <c r="C273" s="24">
        <v>6</v>
      </c>
      <c r="D273" s="24">
        <v>1</v>
      </c>
      <c r="E273" s="24">
        <v>6</v>
      </c>
      <c r="F273" s="24">
        <v>2</v>
      </c>
      <c r="G273" s="24">
        <v>0</v>
      </c>
      <c r="H273" s="24">
        <v>0</v>
      </c>
      <c r="I273" s="13"/>
      <c r="J273" s="10"/>
      <c r="K273" s="10"/>
      <c r="L273" s="10"/>
      <c r="M273" s="10" t="s">
        <v>170</v>
      </c>
      <c r="N273" s="52"/>
      <c r="O273" s="10"/>
      <c r="P273" s="9"/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</row>
    <row r="274" spans="1:28" x14ac:dyDescent="0.2">
      <c r="A274" s="24" t="s">
        <v>169</v>
      </c>
      <c r="B274" s="24">
        <v>2</v>
      </c>
      <c r="C274" s="24">
        <v>6</v>
      </c>
      <c r="D274" s="24">
        <v>1</v>
      </c>
      <c r="E274" s="24">
        <v>6</v>
      </c>
      <c r="F274" s="24">
        <v>50</v>
      </c>
      <c r="G274" s="24">
        <v>0</v>
      </c>
      <c r="H274" s="24">
        <v>0</v>
      </c>
      <c r="I274" s="13"/>
      <c r="J274" s="10"/>
      <c r="K274" s="10"/>
      <c r="L274" s="10"/>
      <c r="M274" s="10" t="s">
        <v>168</v>
      </c>
      <c r="N274" s="52"/>
      <c r="O274" s="10"/>
      <c r="P274" s="9"/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</row>
    <row r="275" spans="1:28" x14ac:dyDescent="0.2">
      <c r="A275" s="33" t="s">
        <v>167</v>
      </c>
      <c r="B275" s="33">
        <v>2</v>
      </c>
      <c r="C275" s="33">
        <v>6</v>
      </c>
      <c r="D275" s="33">
        <v>1</v>
      </c>
      <c r="E275" s="33">
        <v>7</v>
      </c>
      <c r="F275" s="33">
        <v>0</v>
      </c>
      <c r="G275" s="33">
        <v>0</v>
      </c>
      <c r="H275" s="33">
        <v>0</v>
      </c>
      <c r="I275" s="19"/>
      <c r="J275" s="17"/>
      <c r="K275" s="17"/>
      <c r="L275" s="17" t="s">
        <v>166</v>
      </c>
      <c r="M275" s="17"/>
      <c r="N275" s="53"/>
      <c r="O275" s="17"/>
      <c r="P275" s="16"/>
      <c r="Q275" s="30">
        <f t="shared" ref="Q275:AB275" si="67">+Q276+Q277+Q278</f>
        <v>0</v>
      </c>
      <c r="R275" s="30">
        <f t="shared" si="67"/>
        <v>0</v>
      </c>
      <c r="S275" s="30">
        <f t="shared" si="67"/>
        <v>0</v>
      </c>
      <c r="T275" s="30">
        <f t="shared" si="67"/>
        <v>0</v>
      </c>
      <c r="U275" s="30">
        <f t="shared" si="67"/>
        <v>0</v>
      </c>
      <c r="V275" s="30">
        <f t="shared" si="67"/>
        <v>0</v>
      </c>
      <c r="W275" s="30">
        <f t="shared" si="67"/>
        <v>0</v>
      </c>
      <c r="X275" s="30">
        <f t="shared" si="67"/>
        <v>0</v>
      </c>
      <c r="Y275" s="30">
        <f t="shared" si="67"/>
        <v>0</v>
      </c>
      <c r="Z275" s="30">
        <f t="shared" si="67"/>
        <v>0</v>
      </c>
      <c r="AA275" s="30">
        <f t="shared" si="67"/>
        <v>0</v>
      </c>
      <c r="AB275" s="30">
        <f t="shared" si="67"/>
        <v>0</v>
      </c>
    </row>
    <row r="276" spans="1:28" x14ac:dyDescent="0.2">
      <c r="A276" s="24" t="s">
        <v>165</v>
      </c>
      <c r="B276" s="24">
        <v>2</v>
      </c>
      <c r="C276" s="24">
        <v>6</v>
      </c>
      <c r="D276" s="24">
        <v>1</v>
      </c>
      <c r="E276" s="24">
        <v>7</v>
      </c>
      <c r="F276" s="24">
        <v>1</v>
      </c>
      <c r="G276" s="24">
        <v>0</v>
      </c>
      <c r="H276" s="24">
        <v>0</v>
      </c>
      <c r="I276" s="13"/>
      <c r="J276" s="10"/>
      <c r="K276" s="10"/>
      <c r="L276" s="10"/>
      <c r="M276" s="10" t="s">
        <v>164</v>
      </c>
      <c r="N276" s="52"/>
      <c r="O276" s="10"/>
      <c r="P276" s="9"/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</row>
    <row r="277" spans="1:28" x14ac:dyDescent="0.2">
      <c r="A277" s="24" t="s">
        <v>163</v>
      </c>
      <c r="B277" s="24">
        <v>2</v>
      </c>
      <c r="C277" s="24">
        <v>6</v>
      </c>
      <c r="D277" s="24">
        <v>1</v>
      </c>
      <c r="E277" s="24">
        <v>7</v>
      </c>
      <c r="F277" s="24">
        <v>2</v>
      </c>
      <c r="G277" s="24">
        <v>0</v>
      </c>
      <c r="H277" s="24">
        <v>0</v>
      </c>
      <c r="I277" s="13"/>
      <c r="J277" s="10"/>
      <c r="K277" s="10"/>
      <c r="L277" s="10"/>
      <c r="M277" s="10" t="s">
        <v>162</v>
      </c>
      <c r="N277" s="52"/>
      <c r="O277" s="10"/>
      <c r="P277" s="9"/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</row>
    <row r="278" spans="1:28" x14ac:dyDescent="0.2">
      <c r="A278" s="24" t="s">
        <v>161</v>
      </c>
      <c r="B278" s="24">
        <v>2</v>
      </c>
      <c r="C278" s="24">
        <v>6</v>
      </c>
      <c r="D278" s="24">
        <v>1</v>
      </c>
      <c r="E278" s="24">
        <v>7</v>
      </c>
      <c r="F278" s="24">
        <v>3</v>
      </c>
      <c r="G278" s="24">
        <v>0</v>
      </c>
      <c r="H278" s="24">
        <v>0</v>
      </c>
      <c r="I278" s="13"/>
      <c r="J278" s="10"/>
      <c r="K278" s="10"/>
      <c r="L278" s="10"/>
      <c r="M278" s="10" t="s">
        <v>160</v>
      </c>
      <c r="N278" s="52"/>
      <c r="O278" s="10"/>
      <c r="P278" s="9"/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</row>
    <row r="279" spans="1:28" x14ac:dyDescent="0.2">
      <c r="A279" s="33" t="s">
        <v>159</v>
      </c>
      <c r="B279" s="33">
        <v>2</v>
      </c>
      <c r="C279" s="33">
        <v>6</v>
      </c>
      <c r="D279" s="33">
        <v>1</v>
      </c>
      <c r="E279" s="33">
        <v>8</v>
      </c>
      <c r="F279" s="33">
        <v>0</v>
      </c>
      <c r="G279" s="33">
        <v>0</v>
      </c>
      <c r="H279" s="33">
        <v>0</v>
      </c>
      <c r="I279" s="19"/>
      <c r="J279" s="17"/>
      <c r="K279" s="17"/>
      <c r="L279" s="17" t="s">
        <v>158</v>
      </c>
      <c r="M279" s="17"/>
      <c r="N279" s="53"/>
      <c r="O279" s="17"/>
      <c r="P279" s="16"/>
      <c r="Q279" s="30">
        <f t="shared" ref="Q279:AB279" si="68">+Q280+Q281</f>
        <v>0</v>
      </c>
      <c r="R279" s="30">
        <f t="shared" si="68"/>
        <v>0</v>
      </c>
      <c r="S279" s="30">
        <f t="shared" si="68"/>
        <v>0</v>
      </c>
      <c r="T279" s="30">
        <f t="shared" si="68"/>
        <v>0</v>
      </c>
      <c r="U279" s="30">
        <f t="shared" si="68"/>
        <v>0</v>
      </c>
      <c r="V279" s="30">
        <f t="shared" si="68"/>
        <v>0</v>
      </c>
      <c r="W279" s="30">
        <f t="shared" si="68"/>
        <v>0</v>
      </c>
      <c r="X279" s="30">
        <f t="shared" si="68"/>
        <v>0</v>
      </c>
      <c r="Y279" s="30">
        <f t="shared" si="68"/>
        <v>0</v>
      </c>
      <c r="Z279" s="30">
        <f t="shared" si="68"/>
        <v>0</v>
      </c>
      <c r="AA279" s="30">
        <f t="shared" si="68"/>
        <v>0</v>
      </c>
      <c r="AB279" s="30">
        <f t="shared" si="68"/>
        <v>0</v>
      </c>
    </row>
    <row r="280" spans="1:28" x14ac:dyDescent="0.2">
      <c r="A280" s="24" t="s">
        <v>157</v>
      </c>
      <c r="B280" s="24">
        <v>2</v>
      </c>
      <c r="C280" s="24">
        <v>6</v>
      </c>
      <c r="D280" s="24">
        <v>1</v>
      </c>
      <c r="E280" s="24">
        <v>8</v>
      </c>
      <c r="F280" s="24">
        <v>1</v>
      </c>
      <c r="G280" s="24">
        <v>0</v>
      </c>
      <c r="H280" s="24">
        <v>0</v>
      </c>
      <c r="I280" s="13"/>
      <c r="J280" s="10"/>
      <c r="K280" s="10"/>
      <c r="L280" s="10"/>
      <c r="M280" s="10" t="s">
        <v>152</v>
      </c>
      <c r="N280" s="52"/>
      <c r="O280" s="10"/>
      <c r="P280" s="9"/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</row>
    <row r="281" spans="1:28" x14ac:dyDescent="0.2">
      <c r="A281" s="24" t="s">
        <v>156</v>
      </c>
      <c r="B281" s="24">
        <v>2</v>
      </c>
      <c r="C281" s="24">
        <v>6</v>
      </c>
      <c r="D281" s="24">
        <v>1</v>
      </c>
      <c r="E281" s="24">
        <v>8</v>
      </c>
      <c r="F281" s="24">
        <v>2</v>
      </c>
      <c r="G281" s="24">
        <v>0</v>
      </c>
      <c r="H281" s="24">
        <v>0</v>
      </c>
      <c r="I281" s="13"/>
      <c r="J281" s="10"/>
      <c r="K281" s="10"/>
      <c r="L281" s="10"/>
      <c r="M281" s="10" t="s">
        <v>150</v>
      </c>
      <c r="N281" s="52"/>
      <c r="O281" s="10"/>
      <c r="P281" s="9"/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</row>
    <row r="282" spans="1:28" x14ac:dyDescent="0.2">
      <c r="A282" s="33" t="s">
        <v>155</v>
      </c>
      <c r="B282" s="33">
        <v>2</v>
      </c>
      <c r="C282" s="33">
        <v>6</v>
      </c>
      <c r="D282" s="33">
        <v>1</v>
      </c>
      <c r="E282" s="33">
        <v>9</v>
      </c>
      <c r="F282" s="33">
        <v>0</v>
      </c>
      <c r="G282" s="33">
        <v>0</v>
      </c>
      <c r="H282" s="33">
        <v>0</v>
      </c>
      <c r="I282" s="19"/>
      <c r="J282" s="17"/>
      <c r="K282" s="17"/>
      <c r="L282" s="17" t="s">
        <v>154</v>
      </c>
      <c r="M282" s="17"/>
      <c r="N282" s="53"/>
      <c r="O282" s="17"/>
      <c r="P282" s="16"/>
      <c r="Q282" s="30">
        <f t="shared" ref="Q282:AB282" si="69">+Q283+Q284</f>
        <v>0</v>
      </c>
      <c r="R282" s="30">
        <f t="shared" si="69"/>
        <v>0</v>
      </c>
      <c r="S282" s="30">
        <f t="shared" si="69"/>
        <v>0</v>
      </c>
      <c r="T282" s="30">
        <f t="shared" si="69"/>
        <v>0</v>
      </c>
      <c r="U282" s="30">
        <f t="shared" si="69"/>
        <v>0</v>
      </c>
      <c r="V282" s="30">
        <f t="shared" si="69"/>
        <v>0</v>
      </c>
      <c r="W282" s="30">
        <f t="shared" si="69"/>
        <v>0</v>
      </c>
      <c r="X282" s="30">
        <f t="shared" si="69"/>
        <v>0</v>
      </c>
      <c r="Y282" s="30">
        <f t="shared" si="69"/>
        <v>0</v>
      </c>
      <c r="Z282" s="30">
        <f t="shared" si="69"/>
        <v>0</v>
      </c>
      <c r="AA282" s="30">
        <f t="shared" si="69"/>
        <v>0</v>
      </c>
      <c r="AB282" s="30">
        <f t="shared" si="69"/>
        <v>0</v>
      </c>
    </row>
    <row r="283" spans="1:28" x14ac:dyDescent="0.2">
      <c r="A283" s="24" t="s">
        <v>153</v>
      </c>
      <c r="B283" s="24">
        <v>2</v>
      </c>
      <c r="C283" s="24">
        <v>6</v>
      </c>
      <c r="D283" s="24">
        <v>1</v>
      </c>
      <c r="E283" s="24">
        <v>9</v>
      </c>
      <c r="F283" s="24">
        <v>1</v>
      </c>
      <c r="G283" s="24">
        <v>0</v>
      </c>
      <c r="H283" s="24">
        <v>0</v>
      </c>
      <c r="I283" s="13"/>
      <c r="J283" s="10"/>
      <c r="K283" s="12"/>
      <c r="L283" s="10"/>
      <c r="M283" s="10" t="s">
        <v>152</v>
      </c>
      <c r="N283" s="52"/>
      <c r="O283" s="10"/>
      <c r="P283" s="9"/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</row>
    <row r="284" spans="1:28" x14ac:dyDescent="0.2">
      <c r="A284" s="24" t="s">
        <v>151</v>
      </c>
      <c r="B284" s="24">
        <v>2</v>
      </c>
      <c r="C284" s="24">
        <v>6</v>
      </c>
      <c r="D284" s="24">
        <v>1</v>
      </c>
      <c r="E284" s="24">
        <v>9</v>
      </c>
      <c r="F284" s="24">
        <v>2</v>
      </c>
      <c r="G284" s="24">
        <v>0</v>
      </c>
      <c r="H284" s="24">
        <v>0</v>
      </c>
      <c r="I284" s="13"/>
      <c r="J284" s="10"/>
      <c r="K284" s="10"/>
      <c r="L284" s="10"/>
      <c r="M284" s="10" t="s">
        <v>150</v>
      </c>
      <c r="N284" s="52"/>
      <c r="O284" s="10"/>
      <c r="P284" s="9"/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</row>
    <row r="285" spans="1:28" x14ac:dyDescent="0.2">
      <c r="A285" s="24" t="s">
        <v>149</v>
      </c>
      <c r="B285" s="24">
        <v>2</v>
      </c>
      <c r="C285" s="24">
        <v>6</v>
      </c>
      <c r="D285" s="24">
        <v>1</v>
      </c>
      <c r="E285" s="24">
        <v>50</v>
      </c>
      <c r="F285" s="24">
        <v>0</v>
      </c>
      <c r="G285" s="24">
        <v>0</v>
      </c>
      <c r="H285" s="24">
        <v>0</v>
      </c>
      <c r="I285" s="13"/>
      <c r="J285" s="10"/>
      <c r="K285" s="10"/>
      <c r="L285" s="10" t="s">
        <v>148</v>
      </c>
      <c r="M285" s="10"/>
      <c r="N285" s="52"/>
      <c r="O285" s="10"/>
      <c r="P285" s="9"/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</row>
    <row r="286" spans="1:28" x14ac:dyDescent="0.2">
      <c r="A286" s="33" t="s">
        <v>147</v>
      </c>
      <c r="B286" s="33">
        <v>2</v>
      </c>
      <c r="C286" s="33">
        <v>6</v>
      </c>
      <c r="D286" s="33">
        <v>2</v>
      </c>
      <c r="E286" s="33">
        <v>0</v>
      </c>
      <c r="F286" s="33">
        <v>0</v>
      </c>
      <c r="G286" s="33">
        <v>0</v>
      </c>
      <c r="H286" s="33">
        <v>0</v>
      </c>
      <c r="I286" s="19"/>
      <c r="J286" s="17"/>
      <c r="K286" s="17" t="s">
        <v>146</v>
      </c>
      <c r="L286" s="17"/>
      <c r="M286" s="17"/>
      <c r="N286" s="53"/>
      <c r="O286" s="17"/>
      <c r="P286" s="16"/>
      <c r="Q286" s="30">
        <f t="shared" ref="Q286:AB286" si="70">+Q287+Q290</f>
        <v>0</v>
      </c>
      <c r="R286" s="30">
        <f t="shared" si="70"/>
        <v>0</v>
      </c>
      <c r="S286" s="30">
        <f t="shared" si="70"/>
        <v>0</v>
      </c>
      <c r="T286" s="30">
        <f t="shared" si="70"/>
        <v>0</v>
      </c>
      <c r="U286" s="30">
        <f t="shared" si="70"/>
        <v>0</v>
      </c>
      <c r="V286" s="30">
        <f t="shared" si="70"/>
        <v>0</v>
      </c>
      <c r="W286" s="30">
        <f t="shared" si="70"/>
        <v>0</v>
      </c>
      <c r="X286" s="30">
        <f t="shared" si="70"/>
        <v>0</v>
      </c>
      <c r="Y286" s="30">
        <f t="shared" si="70"/>
        <v>0</v>
      </c>
      <c r="Z286" s="30">
        <f t="shared" si="70"/>
        <v>0</v>
      </c>
      <c r="AA286" s="30">
        <f t="shared" si="70"/>
        <v>0</v>
      </c>
      <c r="AB286" s="30">
        <f t="shared" si="70"/>
        <v>0</v>
      </c>
    </row>
    <row r="287" spans="1:28" x14ac:dyDescent="0.2">
      <c r="A287" s="33" t="s">
        <v>145</v>
      </c>
      <c r="B287" s="33">
        <v>2</v>
      </c>
      <c r="C287" s="33">
        <v>6</v>
      </c>
      <c r="D287" s="33">
        <v>2</v>
      </c>
      <c r="E287" s="33">
        <v>2</v>
      </c>
      <c r="F287" s="33">
        <v>0</v>
      </c>
      <c r="G287" s="33">
        <v>0</v>
      </c>
      <c r="H287" s="33">
        <v>0</v>
      </c>
      <c r="I287" s="19"/>
      <c r="J287" s="26"/>
      <c r="K287" s="17"/>
      <c r="L287" s="17" t="s">
        <v>144</v>
      </c>
      <c r="M287" s="17"/>
      <c r="N287" s="53"/>
      <c r="O287" s="17"/>
      <c r="P287" s="16"/>
      <c r="Q287" s="30">
        <f t="shared" ref="Q287:AB287" si="71">+Q288+Q289</f>
        <v>0</v>
      </c>
      <c r="R287" s="30">
        <f t="shared" si="71"/>
        <v>0</v>
      </c>
      <c r="S287" s="30">
        <f t="shared" si="71"/>
        <v>0</v>
      </c>
      <c r="T287" s="30">
        <f t="shared" si="71"/>
        <v>0</v>
      </c>
      <c r="U287" s="30">
        <f t="shared" si="71"/>
        <v>0</v>
      </c>
      <c r="V287" s="30">
        <f t="shared" si="71"/>
        <v>0</v>
      </c>
      <c r="W287" s="30">
        <f t="shared" si="71"/>
        <v>0</v>
      </c>
      <c r="X287" s="30">
        <f t="shared" si="71"/>
        <v>0</v>
      </c>
      <c r="Y287" s="30">
        <f t="shared" si="71"/>
        <v>0</v>
      </c>
      <c r="Z287" s="30">
        <f t="shared" si="71"/>
        <v>0</v>
      </c>
      <c r="AA287" s="30">
        <f t="shared" si="71"/>
        <v>0</v>
      </c>
      <c r="AB287" s="30">
        <f t="shared" si="71"/>
        <v>0</v>
      </c>
    </row>
    <row r="288" spans="1:28" x14ac:dyDescent="0.2">
      <c r="A288" s="24" t="s">
        <v>143</v>
      </c>
      <c r="B288" s="24">
        <v>2</v>
      </c>
      <c r="C288" s="24">
        <v>6</v>
      </c>
      <c r="D288" s="24">
        <v>2</v>
      </c>
      <c r="E288" s="24">
        <v>2</v>
      </c>
      <c r="F288" s="24">
        <v>1</v>
      </c>
      <c r="G288" s="24">
        <v>0</v>
      </c>
      <c r="H288" s="24">
        <v>0</v>
      </c>
      <c r="I288" s="13"/>
      <c r="J288" s="10"/>
      <c r="K288" s="12"/>
      <c r="L288" s="10"/>
      <c r="M288" s="10" t="s">
        <v>138</v>
      </c>
      <c r="N288" s="52"/>
      <c r="O288" s="10"/>
      <c r="P288" s="9"/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</row>
    <row r="289" spans="1:28" x14ac:dyDescent="0.2">
      <c r="A289" s="24" t="s">
        <v>142</v>
      </c>
      <c r="B289" s="24">
        <v>2</v>
      </c>
      <c r="C289" s="24">
        <v>6</v>
      </c>
      <c r="D289" s="24">
        <v>2</v>
      </c>
      <c r="E289" s="24">
        <v>2</v>
      </c>
      <c r="F289" s="24">
        <v>2</v>
      </c>
      <c r="G289" s="24">
        <v>0</v>
      </c>
      <c r="H289" s="24">
        <v>0</v>
      </c>
      <c r="I289" s="13"/>
      <c r="J289" s="10"/>
      <c r="K289" s="12"/>
      <c r="L289" s="10"/>
      <c r="M289" s="10" t="s">
        <v>136</v>
      </c>
      <c r="N289" s="52"/>
      <c r="O289" s="10"/>
      <c r="P289" s="9"/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</row>
    <row r="290" spans="1:28" x14ac:dyDescent="0.2">
      <c r="A290" s="33" t="s">
        <v>141</v>
      </c>
      <c r="B290" s="33">
        <v>2</v>
      </c>
      <c r="C290" s="33">
        <v>6</v>
      </c>
      <c r="D290" s="33">
        <v>2</v>
      </c>
      <c r="E290" s="33">
        <v>3</v>
      </c>
      <c r="F290" s="33">
        <v>0</v>
      </c>
      <c r="G290" s="33">
        <v>0</v>
      </c>
      <c r="H290" s="33">
        <v>0</v>
      </c>
      <c r="I290" s="19"/>
      <c r="J290" s="17"/>
      <c r="K290" s="17"/>
      <c r="L290" s="17" t="s">
        <v>140</v>
      </c>
      <c r="M290" s="17"/>
      <c r="N290" s="53"/>
      <c r="O290" s="17"/>
      <c r="P290" s="16"/>
      <c r="Q290" s="30">
        <f t="shared" ref="Q290:AB290" si="72">+Q291+Q292</f>
        <v>0</v>
      </c>
      <c r="R290" s="30">
        <f t="shared" si="72"/>
        <v>0</v>
      </c>
      <c r="S290" s="30">
        <f t="shared" si="72"/>
        <v>0</v>
      </c>
      <c r="T290" s="30">
        <f t="shared" si="72"/>
        <v>0</v>
      </c>
      <c r="U290" s="30">
        <f t="shared" si="72"/>
        <v>0</v>
      </c>
      <c r="V290" s="30">
        <f t="shared" si="72"/>
        <v>0</v>
      </c>
      <c r="W290" s="30">
        <f t="shared" si="72"/>
        <v>0</v>
      </c>
      <c r="X290" s="30">
        <f t="shared" si="72"/>
        <v>0</v>
      </c>
      <c r="Y290" s="30">
        <f t="shared" si="72"/>
        <v>0</v>
      </c>
      <c r="Z290" s="30">
        <f t="shared" si="72"/>
        <v>0</v>
      </c>
      <c r="AA290" s="30">
        <f t="shared" si="72"/>
        <v>0</v>
      </c>
      <c r="AB290" s="30">
        <f t="shared" si="72"/>
        <v>0</v>
      </c>
    </row>
    <row r="291" spans="1:28" x14ac:dyDescent="0.2">
      <c r="A291" s="24" t="s">
        <v>139</v>
      </c>
      <c r="B291" s="24">
        <v>2</v>
      </c>
      <c r="C291" s="24">
        <v>6</v>
      </c>
      <c r="D291" s="24">
        <v>2</v>
      </c>
      <c r="E291" s="24">
        <v>3</v>
      </c>
      <c r="F291" s="24">
        <v>1</v>
      </c>
      <c r="G291" s="24">
        <v>0</v>
      </c>
      <c r="H291" s="24">
        <v>0</v>
      </c>
      <c r="I291" s="13"/>
      <c r="J291" s="10"/>
      <c r="K291" s="10"/>
      <c r="L291" s="10"/>
      <c r="M291" s="10" t="s">
        <v>138</v>
      </c>
      <c r="N291" s="52"/>
      <c r="O291" s="10"/>
      <c r="P291" s="9"/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</row>
    <row r="292" spans="1:28" x14ac:dyDescent="0.2">
      <c r="A292" s="24" t="s">
        <v>137</v>
      </c>
      <c r="B292" s="24">
        <v>2</v>
      </c>
      <c r="C292" s="24">
        <v>6</v>
      </c>
      <c r="D292" s="24">
        <v>2</v>
      </c>
      <c r="E292" s="24">
        <v>3</v>
      </c>
      <c r="F292" s="24">
        <v>2</v>
      </c>
      <c r="G292" s="24">
        <v>0</v>
      </c>
      <c r="H292" s="24">
        <v>0</v>
      </c>
      <c r="I292" s="13"/>
      <c r="J292" s="10"/>
      <c r="K292" s="10"/>
      <c r="L292" s="10"/>
      <c r="M292" s="10" t="s">
        <v>136</v>
      </c>
      <c r="N292" s="52"/>
      <c r="O292" s="10"/>
      <c r="P292" s="9"/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</row>
    <row r="293" spans="1:28" x14ac:dyDescent="0.2">
      <c r="A293" s="20" t="s">
        <v>135</v>
      </c>
      <c r="B293" s="20">
        <v>2</v>
      </c>
      <c r="C293" s="20">
        <v>5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19"/>
      <c r="J293" s="26" t="s">
        <v>134</v>
      </c>
      <c r="K293" s="17"/>
      <c r="L293" s="17"/>
      <c r="M293" s="17"/>
      <c r="N293" s="17"/>
      <c r="O293" s="17"/>
      <c r="P293" s="16"/>
      <c r="Q293" s="15">
        <f t="shared" ref="Q293:AB293" si="73">+Q294</f>
        <v>0</v>
      </c>
      <c r="R293" s="15">
        <f t="shared" si="73"/>
        <v>0</v>
      </c>
      <c r="S293" s="15">
        <f t="shared" si="73"/>
        <v>0</v>
      </c>
      <c r="T293" s="15">
        <f t="shared" si="73"/>
        <v>0</v>
      </c>
      <c r="U293" s="15">
        <f t="shared" si="73"/>
        <v>0</v>
      </c>
      <c r="V293" s="15">
        <f t="shared" si="73"/>
        <v>0</v>
      </c>
      <c r="W293" s="15">
        <f t="shared" si="73"/>
        <v>0</v>
      </c>
      <c r="X293" s="15">
        <f t="shared" si="73"/>
        <v>0</v>
      </c>
      <c r="Y293" s="15">
        <f t="shared" si="73"/>
        <v>0</v>
      </c>
      <c r="Z293" s="15">
        <f t="shared" si="73"/>
        <v>0</v>
      </c>
      <c r="AA293" s="15">
        <f t="shared" si="73"/>
        <v>0</v>
      </c>
      <c r="AB293" s="15">
        <f t="shared" si="73"/>
        <v>0</v>
      </c>
    </row>
    <row r="294" spans="1:28" x14ac:dyDescent="0.2">
      <c r="A294" s="33" t="s">
        <v>133</v>
      </c>
      <c r="B294" s="33">
        <v>2</v>
      </c>
      <c r="C294" s="33">
        <v>5</v>
      </c>
      <c r="D294" s="33">
        <v>1</v>
      </c>
      <c r="E294" s="33">
        <v>0</v>
      </c>
      <c r="F294" s="33">
        <v>0</v>
      </c>
      <c r="G294" s="33">
        <v>0</v>
      </c>
      <c r="H294" s="33">
        <v>0</v>
      </c>
      <c r="I294" s="19"/>
      <c r="J294" s="17"/>
      <c r="K294" s="17" t="s">
        <v>132</v>
      </c>
      <c r="L294" s="17"/>
      <c r="M294" s="17"/>
      <c r="N294" s="32"/>
      <c r="O294" s="17"/>
      <c r="P294" s="16"/>
      <c r="Q294" s="30">
        <f t="shared" ref="Q294:AB294" si="74">+Q295+Q296</f>
        <v>0</v>
      </c>
      <c r="R294" s="30">
        <f t="shared" si="74"/>
        <v>0</v>
      </c>
      <c r="S294" s="30">
        <f t="shared" si="74"/>
        <v>0</v>
      </c>
      <c r="T294" s="30">
        <f t="shared" si="74"/>
        <v>0</v>
      </c>
      <c r="U294" s="30">
        <f t="shared" si="74"/>
        <v>0</v>
      </c>
      <c r="V294" s="30">
        <f t="shared" si="74"/>
        <v>0</v>
      </c>
      <c r="W294" s="30">
        <f t="shared" si="74"/>
        <v>0</v>
      </c>
      <c r="X294" s="30">
        <f t="shared" si="74"/>
        <v>0</v>
      </c>
      <c r="Y294" s="30">
        <f t="shared" si="74"/>
        <v>0</v>
      </c>
      <c r="Z294" s="30">
        <f t="shared" si="74"/>
        <v>0</v>
      </c>
      <c r="AA294" s="30">
        <f t="shared" si="74"/>
        <v>0</v>
      </c>
      <c r="AB294" s="30">
        <f t="shared" si="74"/>
        <v>0</v>
      </c>
    </row>
    <row r="295" spans="1:28" x14ac:dyDescent="0.2">
      <c r="A295" s="24" t="s">
        <v>131</v>
      </c>
      <c r="B295" s="24">
        <v>2</v>
      </c>
      <c r="C295" s="24">
        <v>5</v>
      </c>
      <c r="D295" s="24">
        <v>1</v>
      </c>
      <c r="E295" s="24">
        <v>1</v>
      </c>
      <c r="F295" s="24">
        <v>0</v>
      </c>
      <c r="G295" s="24">
        <v>0</v>
      </c>
      <c r="H295" s="24">
        <v>0</v>
      </c>
      <c r="I295" s="51"/>
      <c r="J295" s="10"/>
      <c r="K295" s="10"/>
      <c r="L295" s="10" t="s">
        <v>130</v>
      </c>
      <c r="M295" s="10"/>
      <c r="N295" s="10"/>
      <c r="O295" s="10"/>
      <c r="P295" s="9"/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</row>
    <row r="296" spans="1:28" x14ac:dyDescent="0.2">
      <c r="A296" s="24" t="s">
        <v>129</v>
      </c>
      <c r="B296" s="24">
        <v>2</v>
      </c>
      <c r="C296" s="24">
        <v>5</v>
      </c>
      <c r="D296" s="24">
        <v>1</v>
      </c>
      <c r="E296" s="24">
        <v>2</v>
      </c>
      <c r="F296" s="24">
        <v>0</v>
      </c>
      <c r="G296" s="24">
        <v>0</v>
      </c>
      <c r="H296" s="24">
        <v>0</v>
      </c>
      <c r="I296" s="51"/>
      <c r="J296" s="10"/>
      <c r="K296" s="10"/>
      <c r="L296" s="10" t="s">
        <v>128</v>
      </c>
      <c r="M296" s="10"/>
      <c r="N296" s="11"/>
      <c r="O296" s="10"/>
      <c r="P296" s="9"/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</row>
    <row r="297" spans="1:28" x14ac:dyDescent="0.2">
      <c r="A297" s="20" t="s">
        <v>127</v>
      </c>
      <c r="B297" s="20">
        <v>3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9" t="s">
        <v>126</v>
      </c>
      <c r="J297" s="26"/>
      <c r="K297" s="17"/>
      <c r="L297" s="17"/>
      <c r="M297" s="17"/>
      <c r="N297" s="17"/>
      <c r="O297" s="17"/>
      <c r="P297" s="16"/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</row>
    <row r="298" spans="1:28" x14ac:dyDescent="0.2">
      <c r="A298" s="20" t="s">
        <v>125</v>
      </c>
      <c r="B298" s="20">
        <v>3</v>
      </c>
      <c r="C298" s="20">
        <v>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19"/>
      <c r="J298" s="26" t="s">
        <v>124</v>
      </c>
      <c r="K298" s="17"/>
      <c r="L298" s="17"/>
      <c r="M298" s="17"/>
      <c r="N298" s="17"/>
      <c r="O298" s="17"/>
      <c r="P298" s="16"/>
      <c r="Q298" s="15">
        <f t="shared" ref="Q298:AB298" si="75">+Q299+Q302</f>
        <v>604037546.71000004</v>
      </c>
      <c r="R298" s="15">
        <f t="shared" si="75"/>
        <v>648001495.71000004</v>
      </c>
      <c r="S298" s="15">
        <f t="shared" si="75"/>
        <v>696967336.08000004</v>
      </c>
      <c r="T298" s="15">
        <f t="shared" si="75"/>
        <v>779620804.11000001</v>
      </c>
      <c r="U298" s="15">
        <f t="shared" si="75"/>
        <v>832563802.81000006</v>
      </c>
      <c r="V298" s="15">
        <f t="shared" si="75"/>
        <v>932717981.33000004</v>
      </c>
      <c r="W298" s="15">
        <f t="shared" si="75"/>
        <v>1133397384.2899997</v>
      </c>
      <c r="X298" s="15">
        <f t="shared" si="75"/>
        <v>1155400524.8</v>
      </c>
      <c r="Y298" s="15">
        <f t="shared" si="75"/>
        <v>1335657899.8199999</v>
      </c>
      <c r="Z298" s="15">
        <f t="shared" si="75"/>
        <v>1335251446.6700001</v>
      </c>
      <c r="AA298" s="15">
        <f t="shared" si="75"/>
        <v>1395699829.54</v>
      </c>
      <c r="AB298" s="15">
        <f t="shared" si="75"/>
        <v>1402758954.0799999</v>
      </c>
    </row>
    <row r="299" spans="1:28" x14ac:dyDescent="0.2">
      <c r="A299" s="33" t="s">
        <v>123</v>
      </c>
      <c r="B299" s="33">
        <v>3</v>
      </c>
      <c r="C299" s="33">
        <v>1</v>
      </c>
      <c r="D299" s="33">
        <v>1</v>
      </c>
      <c r="E299" s="33">
        <v>0</v>
      </c>
      <c r="F299" s="33">
        <v>0</v>
      </c>
      <c r="G299" s="33">
        <v>0</v>
      </c>
      <c r="H299" s="33">
        <v>0</v>
      </c>
      <c r="I299" s="19"/>
      <c r="J299" s="26"/>
      <c r="K299" s="17" t="s">
        <v>116</v>
      </c>
      <c r="L299" s="17"/>
      <c r="M299" s="17"/>
      <c r="N299" s="17"/>
      <c r="O299" s="17"/>
      <c r="P299" s="16"/>
      <c r="Q299" s="30">
        <f t="shared" ref="Q299:AB299" si="76">+Q300+Q301</f>
        <v>604037546.71000004</v>
      </c>
      <c r="R299" s="30">
        <f t="shared" si="76"/>
        <v>648001495.71000004</v>
      </c>
      <c r="S299" s="30">
        <f t="shared" si="76"/>
        <v>696967336.08000004</v>
      </c>
      <c r="T299" s="30">
        <f t="shared" si="76"/>
        <v>779620804.11000001</v>
      </c>
      <c r="U299" s="30">
        <f t="shared" si="76"/>
        <v>832563802.81000006</v>
      </c>
      <c r="V299" s="30">
        <f t="shared" si="76"/>
        <v>932717981.33000004</v>
      </c>
      <c r="W299" s="30">
        <f t="shared" si="76"/>
        <v>1133397384.2899997</v>
      </c>
      <c r="X299" s="30">
        <f t="shared" si="76"/>
        <v>1155400524.8</v>
      </c>
      <c r="Y299" s="30">
        <f t="shared" si="76"/>
        <v>1335657899.8199999</v>
      </c>
      <c r="Z299" s="30">
        <f t="shared" si="76"/>
        <v>1335251446.6700001</v>
      </c>
      <c r="AA299" s="30">
        <f t="shared" si="76"/>
        <v>1395699829.54</v>
      </c>
      <c r="AB299" s="30">
        <f t="shared" si="76"/>
        <v>1402758954.0799999</v>
      </c>
    </row>
    <row r="300" spans="1:28" x14ac:dyDescent="0.2">
      <c r="A300" s="24" t="s">
        <v>122</v>
      </c>
      <c r="B300" s="24">
        <v>3</v>
      </c>
      <c r="C300" s="24">
        <v>1</v>
      </c>
      <c r="D300" s="24">
        <v>1</v>
      </c>
      <c r="E300" s="24">
        <v>1</v>
      </c>
      <c r="F300" s="24">
        <v>0</v>
      </c>
      <c r="G300" s="24">
        <v>0</v>
      </c>
      <c r="H300" s="24">
        <v>0</v>
      </c>
      <c r="I300" s="13"/>
      <c r="J300" s="12"/>
      <c r="K300" s="10"/>
      <c r="L300" s="10" t="s">
        <v>114</v>
      </c>
      <c r="M300" s="10"/>
      <c r="N300" s="10"/>
      <c r="O300" s="10"/>
      <c r="P300" s="9"/>
      <c r="Q300" s="8">
        <v>604037546.71000004</v>
      </c>
      <c r="R300" s="8">
        <f>+Q305</f>
        <v>648001495.71000004</v>
      </c>
      <c r="S300" s="21">
        <v>696967336.08000004</v>
      </c>
      <c r="T300" s="21">
        <v>779620804.11000001</v>
      </c>
      <c r="U300" s="8">
        <f>+T305</f>
        <v>832563802.81000006</v>
      </c>
      <c r="V300" s="21">
        <f>75084648.21+925000000-44481640.66-22885026.22</f>
        <v>932717981.33000004</v>
      </c>
      <c r="W300" s="8">
        <f>+V305</f>
        <v>1133397384.2899997</v>
      </c>
      <c r="X300" s="8">
        <f>+W305</f>
        <v>1155400524.8</v>
      </c>
      <c r="Y300" s="8">
        <f>+X305</f>
        <v>1335657899.8199999</v>
      </c>
      <c r="Z300" s="8">
        <v>1335251446.6700001</v>
      </c>
      <c r="AA300" s="8">
        <f>+Z305</f>
        <v>1395699829.54</v>
      </c>
      <c r="AB300" s="8">
        <f>+AA305</f>
        <v>1402758954.0799999</v>
      </c>
    </row>
    <row r="301" spans="1:28" x14ac:dyDescent="0.2">
      <c r="A301" s="24" t="s">
        <v>121</v>
      </c>
      <c r="B301" s="24">
        <v>3</v>
      </c>
      <c r="C301" s="24">
        <v>1</v>
      </c>
      <c r="D301" s="24">
        <v>1</v>
      </c>
      <c r="E301" s="24">
        <v>2</v>
      </c>
      <c r="F301" s="24">
        <v>0</v>
      </c>
      <c r="G301" s="24">
        <v>0</v>
      </c>
      <c r="H301" s="24">
        <v>0</v>
      </c>
      <c r="I301" s="13"/>
      <c r="J301" s="12"/>
      <c r="K301" s="10"/>
      <c r="L301" s="10" t="s">
        <v>112</v>
      </c>
      <c r="M301" s="10"/>
      <c r="N301" s="10"/>
      <c r="O301" s="10"/>
      <c r="P301" s="9"/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</row>
    <row r="302" spans="1:28" x14ac:dyDescent="0.2">
      <c r="A302" s="24" t="s">
        <v>120</v>
      </c>
      <c r="B302" s="24">
        <v>3</v>
      </c>
      <c r="C302" s="24">
        <v>1</v>
      </c>
      <c r="D302" s="24">
        <v>2</v>
      </c>
      <c r="E302" s="24">
        <v>0</v>
      </c>
      <c r="F302" s="24">
        <v>0</v>
      </c>
      <c r="G302" s="24">
        <v>0</v>
      </c>
      <c r="H302" s="24">
        <v>0</v>
      </c>
      <c r="I302" s="13"/>
      <c r="J302" s="12"/>
      <c r="K302" s="10" t="s">
        <v>110</v>
      </c>
      <c r="L302" s="10"/>
      <c r="M302" s="10"/>
      <c r="N302" s="10"/>
      <c r="O302" s="10"/>
      <c r="P302" s="9"/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</row>
    <row r="303" spans="1:28" x14ac:dyDescent="0.2">
      <c r="A303" s="20" t="s">
        <v>119</v>
      </c>
      <c r="B303" s="20">
        <v>3</v>
      </c>
      <c r="C303" s="20">
        <v>2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19"/>
      <c r="J303" s="26" t="s">
        <v>118</v>
      </c>
      <c r="K303" s="17"/>
      <c r="L303" s="17"/>
      <c r="M303" s="17"/>
      <c r="N303" s="17"/>
      <c r="O303" s="17"/>
      <c r="P303" s="16"/>
      <c r="Q303" s="15">
        <f t="shared" ref="Q303:AB303" si="77">Q304+Q307</f>
        <v>648001495.71000004</v>
      </c>
      <c r="R303" s="15">
        <f t="shared" si="77"/>
        <v>696967336.08000004</v>
      </c>
      <c r="S303" s="15">
        <f t="shared" si="77"/>
        <v>779620804.11000001</v>
      </c>
      <c r="T303" s="15">
        <f t="shared" si="77"/>
        <v>832563802.81000006</v>
      </c>
      <c r="U303" s="15">
        <f t="shared" si="77"/>
        <v>932717981.33000004</v>
      </c>
      <c r="V303" s="15">
        <f t="shared" si="77"/>
        <v>1133397384.2899997</v>
      </c>
      <c r="W303" s="15">
        <f t="shared" si="77"/>
        <v>1155400524.8</v>
      </c>
      <c r="X303" s="15">
        <f t="shared" si="77"/>
        <v>1335657899.8199999</v>
      </c>
      <c r="Y303" s="15">
        <f t="shared" si="77"/>
        <v>1335251446.6700001</v>
      </c>
      <c r="Z303" s="15">
        <f t="shared" si="77"/>
        <v>1395699829.54</v>
      </c>
      <c r="AA303" s="15">
        <f t="shared" si="77"/>
        <v>1402758954.0799999</v>
      </c>
      <c r="AB303" s="15">
        <f t="shared" si="77"/>
        <v>960251444.01999998</v>
      </c>
    </row>
    <row r="304" spans="1:28" x14ac:dyDescent="0.2">
      <c r="A304" s="33" t="s">
        <v>117</v>
      </c>
      <c r="B304" s="33">
        <v>3</v>
      </c>
      <c r="C304" s="33">
        <v>2</v>
      </c>
      <c r="D304" s="33">
        <v>1</v>
      </c>
      <c r="E304" s="33">
        <v>0</v>
      </c>
      <c r="F304" s="33">
        <v>0</v>
      </c>
      <c r="G304" s="33">
        <v>0</v>
      </c>
      <c r="H304" s="33">
        <v>0</v>
      </c>
      <c r="I304" s="19"/>
      <c r="J304" s="26"/>
      <c r="K304" s="17" t="s">
        <v>116</v>
      </c>
      <c r="L304" s="17"/>
      <c r="M304" s="17"/>
      <c r="N304" s="17"/>
      <c r="O304" s="17"/>
      <c r="P304" s="16"/>
      <c r="Q304" s="30">
        <f t="shared" ref="Q304:AB304" si="78">Q305+Q306</f>
        <v>648001495.71000004</v>
      </c>
      <c r="R304" s="30">
        <f t="shared" si="78"/>
        <v>696967336.08000004</v>
      </c>
      <c r="S304" s="30">
        <f t="shared" si="78"/>
        <v>779620804.11000001</v>
      </c>
      <c r="T304" s="30">
        <f t="shared" si="78"/>
        <v>832563802.81000006</v>
      </c>
      <c r="U304" s="30">
        <f t="shared" si="78"/>
        <v>932717981.33000004</v>
      </c>
      <c r="V304" s="30">
        <f t="shared" si="78"/>
        <v>1133397384.2899997</v>
      </c>
      <c r="W304" s="30">
        <f t="shared" si="78"/>
        <v>1155400524.8</v>
      </c>
      <c r="X304" s="30">
        <f t="shared" si="78"/>
        <v>1335657899.8199999</v>
      </c>
      <c r="Y304" s="30">
        <f t="shared" si="78"/>
        <v>1335251446.6700001</v>
      </c>
      <c r="Z304" s="30">
        <f t="shared" si="78"/>
        <v>1395699829.54</v>
      </c>
      <c r="AA304" s="30">
        <f t="shared" si="78"/>
        <v>1402758954.0799999</v>
      </c>
      <c r="AB304" s="30">
        <f t="shared" si="78"/>
        <v>960251444.01999998</v>
      </c>
    </row>
    <row r="305" spans="1:28" x14ac:dyDescent="0.2">
      <c r="A305" s="24" t="s">
        <v>115</v>
      </c>
      <c r="B305" s="24">
        <v>3</v>
      </c>
      <c r="C305" s="24">
        <v>2</v>
      </c>
      <c r="D305" s="24">
        <v>1</v>
      </c>
      <c r="E305" s="24">
        <v>1</v>
      </c>
      <c r="F305" s="24">
        <v>0</v>
      </c>
      <c r="G305" s="24">
        <v>0</v>
      </c>
      <c r="H305" s="24">
        <v>0</v>
      </c>
      <c r="I305" s="13"/>
      <c r="J305" s="12"/>
      <c r="K305" s="10"/>
      <c r="L305" s="10" t="s">
        <v>114</v>
      </c>
      <c r="M305" s="10"/>
      <c r="N305" s="10"/>
      <c r="O305" s="10"/>
      <c r="P305" s="9"/>
      <c r="Q305" s="8">
        <f>+Q300+Q340</f>
        <v>648001495.71000004</v>
      </c>
      <c r="R305" s="21">
        <v>696967336.08000004</v>
      </c>
      <c r="S305" s="21">
        <f>48777733.68-45156929.57+776000000</f>
        <v>779620804.11000001</v>
      </c>
      <c r="T305" s="21">
        <f>73534938.53+826000000-44481640.66-22489495.06</f>
        <v>832563802.81000006</v>
      </c>
      <c r="U305" s="21">
        <f>75084648.21+925000000-44481640.66-22885026.22</f>
        <v>932717981.33000004</v>
      </c>
      <c r="V305" s="21">
        <f>71129448.11+1130000000-23250423.16-44481640.66</f>
        <v>1133397384.2899997</v>
      </c>
      <c r="W305" s="8">
        <f>69537957.64+1154000000-23655792.18-44481640.66</f>
        <v>1155400524.8</v>
      </c>
      <c r="X305" s="8">
        <f>244533162.05+1178000000-44481640.66-42393621.57</f>
        <v>1335657899.8199999</v>
      </c>
      <c r="Y305" s="8">
        <f>168595081.65+1254000000-44481640.66-42861994.32</f>
        <v>1335251446.6700001</v>
      </c>
      <c r="Z305" s="21">
        <f>1313000000+170539123.93-44481640.66-43357653.73</f>
        <v>1395699829.54</v>
      </c>
      <c r="AA305" s="8">
        <f>1329030965.31+162019102.5-44481640.66-43809473.07</f>
        <v>1402758954.0799999</v>
      </c>
      <c r="AB305" s="8">
        <f>1197030965.31+107475755.45-44481640.66-70469289.32-188925215.99-40379130.77</f>
        <v>960251444.01999998</v>
      </c>
    </row>
    <row r="306" spans="1:28" x14ac:dyDescent="0.2">
      <c r="A306" s="24" t="s">
        <v>113</v>
      </c>
      <c r="B306" s="24">
        <v>3</v>
      </c>
      <c r="C306" s="24">
        <v>2</v>
      </c>
      <c r="D306" s="24">
        <v>1</v>
      </c>
      <c r="E306" s="24">
        <v>2</v>
      </c>
      <c r="F306" s="24">
        <v>0</v>
      </c>
      <c r="G306" s="24">
        <v>0</v>
      </c>
      <c r="H306" s="24">
        <v>0</v>
      </c>
      <c r="I306" s="13"/>
      <c r="J306" s="12"/>
      <c r="K306" s="10"/>
      <c r="L306" s="10" t="s">
        <v>112</v>
      </c>
      <c r="M306" s="10"/>
      <c r="N306" s="10"/>
      <c r="O306" s="10"/>
      <c r="P306" s="9"/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</row>
    <row r="307" spans="1:28" x14ac:dyDescent="0.2">
      <c r="A307" s="24" t="s">
        <v>111</v>
      </c>
      <c r="B307" s="24">
        <v>3</v>
      </c>
      <c r="C307" s="24">
        <v>2</v>
      </c>
      <c r="D307" s="24">
        <v>2</v>
      </c>
      <c r="E307" s="24">
        <v>0</v>
      </c>
      <c r="F307" s="24">
        <v>0</v>
      </c>
      <c r="G307" s="24">
        <v>0</v>
      </c>
      <c r="H307" s="24">
        <v>0</v>
      </c>
      <c r="I307" s="13"/>
      <c r="J307" s="12"/>
      <c r="K307" s="10" t="s">
        <v>110</v>
      </c>
      <c r="L307" s="10"/>
      <c r="M307" s="10"/>
      <c r="N307" s="10"/>
      <c r="O307" s="10"/>
      <c r="P307" s="9"/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</row>
    <row r="308" spans="1:28" x14ac:dyDescent="0.2">
      <c r="A308" s="20" t="s">
        <v>109</v>
      </c>
      <c r="B308" s="20">
        <v>4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19" t="s">
        <v>108</v>
      </c>
      <c r="J308" s="26"/>
      <c r="K308" s="17"/>
      <c r="L308" s="17"/>
      <c r="M308" s="17"/>
      <c r="N308" s="17"/>
      <c r="O308" s="17"/>
      <c r="P308" s="31"/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</row>
    <row r="309" spans="1:28" x14ac:dyDescent="0.2">
      <c r="A309" s="20" t="s">
        <v>107</v>
      </c>
      <c r="B309" s="20">
        <v>4</v>
      </c>
      <c r="C309" s="20">
        <v>1</v>
      </c>
      <c r="D309" s="20">
        <v>1</v>
      </c>
      <c r="E309" s="20">
        <v>0</v>
      </c>
      <c r="F309" s="20">
        <v>0</v>
      </c>
      <c r="G309" s="20">
        <v>0</v>
      </c>
      <c r="H309" s="20">
        <v>0</v>
      </c>
      <c r="I309" s="19"/>
      <c r="J309" s="26" t="s">
        <v>106</v>
      </c>
      <c r="K309" s="32"/>
      <c r="L309" s="17"/>
      <c r="M309" s="17"/>
      <c r="N309" s="17"/>
      <c r="O309" s="17"/>
      <c r="P309" s="16"/>
      <c r="Q309" s="15">
        <f t="shared" ref="Q309:AB309" si="79">+Q310+Q311</f>
        <v>0</v>
      </c>
      <c r="R309" s="15">
        <f t="shared" si="79"/>
        <v>0</v>
      </c>
      <c r="S309" s="15">
        <f t="shared" si="79"/>
        <v>0</v>
      </c>
      <c r="T309" s="15">
        <f t="shared" si="79"/>
        <v>0</v>
      </c>
      <c r="U309" s="15">
        <f t="shared" si="79"/>
        <v>0</v>
      </c>
      <c r="V309" s="15">
        <f t="shared" si="79"/>
        <v>0</v>
      </c>
      <c r="W309" s="15">
        <f t="shared" si="79"/>
        <v>0</v>
      </c>
      <c r="X309" s="15">
        <f t="shared" si="79"/>
        <v>0</v>
      </c>
      <c r="Y309" s="15">
        <f t="shared" si="79"/>
        <v>0</v>
      </c>
      <c r="Z309" s="15">
        <f t="shared" si="79"/>
        <v>0</v>
      </c>
      <c r="AA309" s="15">
        <f t="shared" si="79"/>
        <v>0</v>
      </c>
      <c r="AB309" s="15">
        <f t="shared" si="79"/>
        <v>0</v>
      </c>
    </row>
    <row r="310" spans="1:28" x14ac:dyDescent="0.2">
      <c r="A310" s="24" t="s">
        <v>105</v>
      </c>
      <c r="B310" s="24">
        <v>4</v>
      </c>
      <c r="C310" s="24">
        <v>1</v>
      </c>
      <c r="D310" s="24">
        <v>1</v>
      </c>
      <c r="E310" s="24">
        <v>6</v>
      </c>
      <c r="F310" s="24">
        <v>0</v>
      </c>
      <c r="G310" s="24">
        <v>0</v>
      </c>
      <c r="H310" s="24">
        <v>0</v>
      </c>
      <c r="I310" s="13"/>
      <c r="J310" s="10"/>
      <c r="K310" s="10" t="s">
        <v>104</v>
      </c>
      <c r="L310" s="10"/>
      <c r="M310" s="10"/>
      <c r="N310" s="10"/>
      <c r="O310" s="10"/>
      <c r="P310" s="9"/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</row>
    <row r="311" spans="1:28" x14ac:dyDescent="0.2">
      <c r="A311" s="24" t="s">
        <v>103</v>
      </c>
      <c r="B311" s="24">
        <v>4</v>
      </c>
      <c r="C311" s="24">
        <v>1</v>
      </c>
      <c r="D311" s="24">
        <v>50</v>
      </c>
      <c r="E311" s="24">
        <v>0</v>
      </c>
      <c r="F311" s="24">
        <v>0</v>
      </c>
      <c r="G311" s="24">
        <v>0</v>
      </c>
      <c r="H311" s="24">
        <v>0</v>
      </c>
      <c r="I311" s="13"/>
      <c r="J311" s="10"/>
      <c r="K311" s="10" t="s">
        <v>102</v>
      </c>
      <c r="L311" s="10"/>
      <c r="M311" s="10"/>
      <c r="N311" s="10"/>
      <c r="O311" s="10"/>
      <c r="P311" s="9"/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</row>
    <row r="312" spans="1:28" x14ac:dyDescent="0.2">
      <c r="A312" s="14" t="s">
        <v>101</v>
      </c>
      <c r="B312" s="14">
        <v>4</v>
      </c>
      <c r="C312" s="14">
        <v>2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23"/>
      <c r="J312" s="12" t="s">
        <v>100</v>
      </c>
      <c r="K312" s="12"/>
      <c r="L312" s="10"/>
      <c r="M312" s="10"/>
      <c r="N312" s="10"/>
      <c r="O312" s="10"/>
      <c r="P312" s="9"/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</row>
    <row r="313" spans="1:28" x14ac:dyDescent="0.2">
      <c r="A313" s="14" t="s">
        <v>99</v>
      </c>
      <c r="B313" s="14">
        <v>4</v>
      </c>
      <c r="C313" s="14">
        <v>5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23"/>
      <c r="J313" s="12" t="s">
        <v>38</v>
      </c>
      <c r="K313" s="12"/>
      <c r="L313" s="10"/>
      <c r="M313" s="10"/>
      <c r="N313" s="10"/>
      <c r="O313" s="10"/>
      <c r="P313" s="9"/>
      <c r="Q313" s="8">
        <v>0</v>
      </c>
      <c r="R313" s="8">
        <v>5160929.37</v>
      </c>
      <c r="S313" s="8">
        <v>-5160929.37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</row>
    <row r="314" spans="1:28" x14ac:dyDescent="0.2">
      <c r="A314" s="14" t="s">
        <v>98</v>
      </c>
      <c r="B314" s="14">
        <v>4</v>
      </c>
      <c r="C314" s="14">
        <v>7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50"/>
      <c r="J314" s="12" t="s">
        <v>36</v>
      </c>
      <c r="K314" s="49"/>
      <c r="L314" s="48"/>
      <c r="M314" s="12"/>
      <c r="N314" s="12"/>
      <c r="O314" s="12"/>
      <c r="P314" s="22"/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</row>
    <row r="315" spans="1:28" x14ac:dyDescent="0.2">
      <c r="A315" s="20" t="s">
        <v>97</v>
      </c>
      <c r="B315" s="20">
        <v>5</v>
      </c>
      <c r="C315" s="20">
        <v>1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19" t="s">
        <v>96</v>
      </c>
      <c r="J315" s="32"/>
      <c r="K315" s="17"/>
      <c r="L315" s="17"/>
      <c r="M315" s="17"/>
      <c r="N315" s="17"/>
      <c r="O315" s="17"/>
      <c r="P315" s="31"/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</row>
    <row r="316" spans="1:28" x14ac:dyDescent="0.2">
      <c r="A316" s="20" t="s">
        <v>95</v>
      </c>
      <c r="B316" s="20">
        <v>5</v>
      </c>
      <c r="C316" s="20">
        <v>1</v>
      </c>
      <c r="D316" s="20">
        <v>1</v>
      </c>
      <c r="E316" s="20">
        <v>0</v>
      </c>
      <c r="F316" s="20">
        <v>0</v>
      </c>
      <c r="G316" s="20">
        <v>0</v>
      </c>
      <c r="H316" s="20">
        <v>0</v>
      </c>
      <c r="I316" s="19"/>
      <c r="J316" s="26" t="s">
        <v>94</v>
      </c>
      <c r="K316" s="32"/>
      <c r="L316" s="17"/>
      <c r="M316" s="17"/>
      <c r="N316" s="17"/>
      <c r="O316" s="17"/>
      <c r="P316" s="31"/>
      <c r="Q316" s="15">
        <f t="shared" ref="Q316:AB316" si="80">+Q317+Q324+Q325+Q326</f>
        <v>240680650</v>
      </c>
      <c r="R316" s="15">
        <f t="shared" si="80"/>
        <v>253715064</v>
      </c>
      <c r="S316" s="15">
        <f t="shared" si="80"/>
        <v>364645312.39999998</v>
      </c>
      <c r="T316" s="15">
        <f t="shared" si="80"/>
        <v>289079893.14999998</v>
      </c>
      <c r="U316" s="15">
        <f t="shared" si="80"/>
        <v>298783669</v>
      </c>
      <c r="V316" s="15">
        <f t="shared" si="80"/>
        <v>384132720.96000004</v>
      </c>
      <c r="W316" s="15">
        <f t="shared" si="80"/>
        <v>351991426.50999999</v>
      </c>
      <c r="X316" s="15">
        <f t="shared" si="80"/>
        <v>483366807.88</v>
      </c>
      <c r="Y316" s="15">
        <f t="shared" si="80"/>
        <v>325717459.53999996</v>
      </c>
      <c r="Z316" s="15">
        <f t="shared" si="80"/>
        <v>315741387</v>
      </c>
      <c r="AA316" s="15">
        <f t="shared" si="80"/>
        <v>370730033.54000002</v>
      </c>
      <c r="AB316" s="15">
        <f t="shared" si="80"/>
        <v>273782389.5</v>
      </c>
    </row>
    <row r="317" spans="1:28" x14ac:dyDescent="0.2">
      <c r="A317" s="33" t="s">
        <v>93</v>
      </c>
      <c r="B317" s="33">
        <v>5</v>
      </c>
      <c r="C317" s="33">
        <v>1</v>
      </c>
      <c r="D317" s="33">
        <v>1</v>
      </c>
      <c r="E317" s="33">
        <v>1</v>
      </c>
      <c r="F317" s="33">
        <v>0</v>
      </c>
      <c r="G317" s="33">
        <v>0</v>
      </c>
      <c r="H317" s="33">
        <v>0</v>
      </c>
      <c r="I317" s="19"/>
      <c r="J317" s="26"/>
      <c r="K317" s="17" t="s">
        <v>92</v>
      </c>
      <c r="L317" s="32"/>
      <c r="M317" s="17"/>
      <c r="N317" s="17"/>
      <c r="O317" s="17"/>
      <c r="P317" s="31"/>
      <c r="Q317" s="30">
        <f t="shared" ref="Q317:AB317" si="81">+Q318+Q319+Q320+Q323</f>
        <v>184398093</v>
      </c>
      <c r="R317" s="30">
        <f t="shared" si="81"/>
        <v>202935142</v>
      </c>
      <c r="S317" s="30">
        <f t="shared" si="81"/>
        <v>275929832</v>
      </c>
      <c r="T317" s="30">
        <f t="shared" si="81"/>
        <v>233861370.16</v>
      </c>
      <c r="U317" s="30">
        <f t="shared" si="81"/>
        <v>241266802</v>
      </c>
      <c r="V317" s="30">
        <f t="shared" si="81"/>
        <v>315131073</v>
      </c>
      <c r="W317" s="30">
        <f t="shared" si="81"/>
        <v>278454579</v>
      </c>
      <c r="X317" s="30">
        <f t="shared" si="81"/>
        <v>387027352.88</v>
      </c>
      <c r="Y317" s="30">
        <f t="shared" si="81"/>
        <v>265483897.88999999</v>
      </c>
      <c r="Z317" s="30">
        <f t="shared" si="81"/>
        <v>256472618</v>
      </c>
      <c r="AA317" s="30">
        <f t="shared" si="81"/>
        <v>293685414</v>
      </c>
      <c r="AB317" s="30">
        <f t="shared" si="81"/>
        <v>219566601.31</v>
      </c>
    </row>
    <row r="318" spans="1:28" x14ac:dyDescent="0.2">
      <c r="A318" s="33" t="s">
        <v>91</v>
      </c>
      <c r="B318" s="33">
        <v>5</v>
      </c>
      <c r="C318" s="33">
        <v>1</v>
      </c>
      <c r="D318" s="33">
        <v>1</v>
      </c>
      <c r="E318" s="33">
        <v>1</v>
      </c>
      <c r="F318" s="33">
        <v>1</v>
      </c>
      <c r="G318" s="33">
        <v>0</v>
      </c>
      <c r="H318" s="33">
        <v>0</v>
      </c>
      <c r="I318" s="19"/>
      <c r="J318" s="26"/>
      <c r="K318" s="17"/>
      <c r="L318" s="17" t="s">
        <v>90</v>
      </c>
      <c r="M318" s="17"/>
      <c r="N318" s="32"/>
      <c r="O318" s="17"/>
      <c r="P318" s="31"/>
      <c r="Q318" s="30">
        <f t="shared" ref="Q318:AB318" si="82">+Q4-Q271-Q279</f>
        <v>0</v>
      </c>
      <c r="R318" s="30">
        <f t="shared" si="82"/>
        <v>0</v>
      </c>
      <c r="S318" s="30">
        <f t="shared" si="82"/>
        <v>0</v>
      </c>
      <c r="T318" s="30">
        <f t="shared" si="82"/>
        <v>0</v>
      </c>
      <c r="U318" s="30">
        <f t="shared" si="82"/>
        <v>0</v>
      </c>
      <c r="V318" s="30">
        <f t="shared" si="82"/>
        <v>0</v>
      </c>
      <c r="W318" s="30">
        <f t="shared" si="82"/>
        <v>0</v>
      </c>
      <c r="X318" s="30">
        <f t="shared" si="82"/>
        <v>0</v>
      </c>
      <c r="Y318" s="30">
        <f t="shared" si="82"/>
        <v>0</v>
      </c>
      <c r="Z318" s="30">
        <f t="shared" si="82"/>
        <v>0</v>
      </c>
      <c r="AA318" s="30">
        <f t="shared" si="82"/>
        <v>0</v>
      </c>
      <c r="AB318" s="30">
        <f t="shared" si="82"/>
        <v>0</v>
      </c>
    </row>
    <row r="319" spans="1:28" x14ac:dyDescent="0.2">
      <c r="A319" s="33" t="s">
        <v>89</v>
      </c>
      <c r="B319" s="33">
        <v>5</v>
      </c>
      <c r="C319" s="33">
        <v>1</v>
      </c>
      <c r="D319" s="33">
        <v>1</v>
      </c>
      <c r="E319" s="33">
        <v>1</v>
      </c>
      <c r="F319" s="33">
        <v>2</v>
      </c>
      <c r="G319" s="33">
        <v>0</v>
      </c>
      <c r="H319" s="33">
        <v>0</v>
      </c>
      <c r="I319" s="19"/>
      <c r="J319" s="26"/>
      <c r="K319" s="17"/>
      <c r="L319" s="17" t="s">
        <v>88</v>
      </c>
      <c r="M319" s="17"/>
      <c r="N319" s="32"/>
      <c r="O319" s="17"/>
      <c r="P319" s="31"/>
      <c r="Q319" s="30">
        <f t="shared" ref="Q319:AB319" si="83">+Q8-Q269-Q270-Q282</f>
        <v>162121492</v>
      </c>
      <c r="R319" s="30">
        <f t="shared" si="83"/>
        <v>177308084</v>
      </c>
      <c r="S319" s="30">
        <f t="shared" si="83"/>
        <v>242886721</v>
      </c>
      <c r="T319" s="30">
        <f t="shared" si="83"/>
        <v>201632115</v>
      </c>
      <c r="U319" s="30">
        <f t="shared" si="83"/>
        <v>206624819</v>
      </c>
      <c r="V319" s="30">
        <f t="shared" si="83"/>
        <v>284317547</v>
      </c>
      <c r="W319" s="30">
        <f t="shared" si="83"/>
        <v>235039488</v>
      </c>
      <c r="X319" s="30">
        <f t="shared" si="83"/>
        <v>290183449</v>
      </c>
      <c r="Y319" s="30">
        <f t="shared" si="83"/>
        <v>231015650.62</v>
      </c>
      <c r="Z319" s="30">
        <f t="shared" si="83"/>
        <v>219023442</v>
      </c>
      <c r="AA319" s="30">
        <f t="shared" si="83"/>
        <v>260010034</v>
      </c>
      <c r="AB319" s="30">
        <f t="shared" si="83"/>
        <v>197371008.59</v>
      </c>
    </row>
    <row r="320" spans="1:28" x14ac:dyDescent="0.2">
      <c r="A320" s="33" t="s">
        <v>87</v>
      </c>
      <c r="B320" s="33">
        <v>5</v>
      </c>
      <c r="C320" s="33">
        <v>1</v>
      </c>
      <c r="D320" s="33">
        <v>1</v>
      </c>
      <c r="E320" s="33">
        <v>1</v>
      </c>
      <c r="F320" s="33">
        <v>3</v>
      </c>
      <c r="G320" s="33">
        <v>0</v>
      </c>
      <c r="H320" s="33">
        <v>0</v>
      </c>
      <c r="I320" s="19"/>
      <c r="J320" s="26"/>
      <c r="K320" s="17"/>
      <c r="L320" s="17" t="s">
        <v>86</v>
      </c>
      <c r="M320" s="17"/>
      <c r="N320" s="32"/>
      <c r="O320" s="17"/>
      <c r="P320" s="31"/>
      <c r="Q320" s="30">
        <f t="shared" ref="Q320:AB321" si="84">+Q15</f>
        <v>22276601</v>
      </c>
      <c r="R320" s="30">
        <f t="shared" si="84"/>
        <v>25627058</v>
      </c>
      <c r="S320" s="30">
        <f t="shared" si="84"/>
        <v>33043111</v>
      </c>
      <c r="T320" s="30">
        <f t="shared" si="84"/>
        <v>32229255.16</v>
      </c>
      <c r="U320" s="30">
        <f t="shared" si="84"/>
        <v>34641983</v>
      </c>
      <c r="V320" s="30">
        <f t="shared" si="84"/>
        <v>30813526</v>
      </c>
      <c r="W320" s="30">
        <f t="shared" si="84"/>
        <v>43415091</v>
      </c>
      <c r="X320" s="30">
        <f t="shared" si="84"/>
        <v>96843903.879999995</v>
      </c>
      <c r="Y320" s="30">
        <f t="shared" si="84"/>
        <v>34468247.269999996</v>
      </c>
      <c r="Z320" s="30">
        <f t="shared" si="84"/>
        <v>37449176</v>
      </c>
      <c r="AA320" s="30">
        <f t="shared" si="84"/>
        <v>33675380</v>
      </c>
      <c r="AB320" s="30">
        <f t="shared" si="84"/>
        <v>22195592.719999999</v>
      </c>
    </row>
    <row r="321" spans="1:28" x14ac:dyDescent="0.2">
      <c r="A321" s="33" t="s">
        <v>85</v>
      </c>
      <c r="B321" s="33">
        <v>5</v>
      </c>
      <c r="C321" s="33">
        <v>1</v>
      </c>
      <c r="D321" s="33">
        <v>1</v>
      </c>
      <c r="E321" s="33">
        <v>1</v>
      </c>
      <c r="F321" s="33">
        <v>3</v>
      </c>
      <c r="G321" s="33">
        <v>1</v>
      </c>
      <c r="H321" s="33">
        <v>0</v>
      </c>
      <c r="I321" s="19"/>
      <c r="J321" s="26"/>
      <c r="K321" s="17"/>
      <c r="L321" s="17"/>
      <c r="M321" s="17" t="s">
        <v>84</v>
      </c>
      <c r="N321" s="32"/>
      <c r="O321" s="17"/>
      <c r="P321" s="31"/>
      <c r="Q321" s="30">
        <f t="shared" si="84"/>
        <v>2160904</v>
      </c>
      <c r="R321" s="30">
        <f t="shared" si="84"/>
        <v>4739021</v>
      </c>
      <c r="S321" s="30">
        <f t="shared" si="84"/>
        <v>3662764</v>
      </c>
      <c r="T321" s="30">
        <f t="shared" si="84"/>
        <v>3778951</v>
      </c>
      <c r="U321" s="30">
        <f t="shared" si="84"/>
        <v>5346902</v>
      </c>
      <c r="V321" s="30">
        <f t="shared" si="84"/>
        <v>5329474</v>
      </c>
      <c r="W321" s="30">
        <f t="shared" si="84"/>
        <v>8284485</v>
      </c>
      <c r="X321" s="30">
        <f t="shared" si="84"/>
        <v>4963404.8600000003</v>
      </c>
      <c r="Y321" s="30">
        <f t="shared" si="84"/>
        <v>5881911.5699999994</v>
      </c>
      <c r="Z321" s="30">
        <f t="shared" si="84"/>
        <v>10620018</v>
      </c>
      <c r="AA321" s="30">
        <f t="shared" si="84"/>
        <v>9773994.8100000005</v>
      </c>
      <c r="AB321" s="30">
        <f t="shared" si="84"/>
        <v>4733604.7300000004</v>
      </c>
    </row>
    <row r="322" spans="1:28" x14ac:dyDescent="0.2">
      <c r="A322" s="33" t="s">
        <v>83</v>
      </c>
      <c r="B322" s="33">
        <v>5</v>
      </c>
      <c r="C322" s="33">
        <v>1</v>
      </c>
      <c r="D322" s="33">
        <v>1</v>
      </c>
      <c r="E322" s="33">
        <v>1</v>
      </c>
      <c r="F322" s="33">
        <v>3</v>
      </c>
      <c r="G322" s="33">
        <v>2</v>
      </c>
      <c r="H322" s="33">
        <v>0</v>
      </c>
      <c r="I322" s="19"/>
      <c r="J322" s="26"/>
      <c r="K322" s="17"/>
      <c r="L322" s="17"/>
      <c r="M322" s="17" t="s">
        <v>82</v>
      </c>
      <c r="N322" s="32"/>
      <c r="O322" s="17"/>
      <c r="P322" s="31"/>
      <c r="Q322" s="30">
        <f t="shared" ref="Q322:AB322" si="85">+Q320-Q321</f>
        <v>20115697</v>
      </c>
      <c r="R322" s="30">
        <f t="shared" si="85"/>
        <v>20888037</v>
      </c>
      <c r="S322" s="30">
        <f t="shared" si="85"/>
        <v>29380347</v>
      </c>
      <c r="T322" s="30">
        <f t="shared" si="85"/>
        <v>28450304.16</v>
      </c>
      <c r="U322" s="30">
        <f t="shared" si="85"/>
        <v>29295081</v>
      </c>
      <c r="V322" s="30">
        <f t="shared" si="85"/>
        <v>25484052</v>
      </c>
      <c r="W322" s="30">
        <f t="shared" si="85"/>
        <v>35130606</v>
      </c>
      <c r="X322" s="30">
        <f t="shared" si="85"/>
        <v>91880499.019999996</v>
      </c>
      <c r="Y322" s="30">
        <f t="shared" si="85"/>
        <v>28586335.699999996</v>
      </c>
      <c r="Z322" s="30">
        <f t="shared" si="85"/>
        <v>26829158</v>
      </c>
      <c r="AA322" s="30">
        <f t="shared" si="85"/>
        <v>23901385.189999998</v>
      </c>
      <c r="AB322" s="30">
        <f t="shared" si="85"/>
        <v>17461987.989999998</v>
      </c>
    </row>
    <row r="323" spans="1:28" x14ac:dyDescent="0.2">
      <c r="A323" s="33" t="s">
        <v>81</v>
      </c>
      <c r="B323" s="33">
        <v>5</v>
      </c>
      <c r="C323" s="33">
        <v>1</v>
      </c>
      <c r="D323" s="33">
        <v>1</v>
      </c>
      <c r="E323" s="33">
        <v>1</v>
      </c>
      <c r="F323" s="33">
        <v>4</v>
      </c>
      <c r="G323" s="33">
        <v>0</v>
      </c>
      <c r="H323" s="33">
        <v>0</v>
      </c>
      <c r="I323" s="19"/>
      <c r="J323" s="26"/>
      <c r="K323" s="17"/>
      <c r="L323" s="17" t="s">
        <v>80</v>
      </c>
      <c r="M323" s="17"/>
      <c r="N323" s="32"/>
      <c r="O323" s="17"/>
      <c r="P323" s="31"/>
      <c r="Q323" s="30">
        <f t="shared" ref="Q323:AB323" si="86">+Q12</f>
        <v>0</v>
      </c>
      <c r="R323" s="30">
        <f t="shared" si="86"/>
        <v>0</v>
      </c>
      <c r="S323" s="30">
        <f t="shared" si="86"/>
        <v>0</v>
      </c>
      <c r="T323" s="30">
        <f t="shared" si="86"/>
        <v>0</v>
      </c>
      <c r="U323" s="30">
        <f t="shared" si="86"/>
        <v>0</v>
      </c>
      <c r="V323" s="30">
        <f t="shared" si="86"/>
        <v>0</v>
      </c>
      <c r="W323" s="30">
        <f t="shared" si="86"/>
        <v>0</v>
      </c>
      <c r="X323" s="30">
        <f t="shared" si="86"/>
        <v>0</v>
      </c>
      <c r="Y323" s="30">
        <f t="shared" si="86"/>
        <v>0</v>
      </c>
      <c r="Z323" s="30">
        <f t="shared" si="86"/>
        <v>0</v>
      </c>
      <c r="AA323" s="30">
        <f t="shared" si="86"/>
        <v>0</v>
      </c>
      <c r="AB323" s="30">
        <f t="shared" si="86"/>
        <v>0</v>
      </c>
    </row>
    <row r="324" spans="1:28" x14ac:dyDescent="0.2">
      <c r="A324" s="33" t="s">
        <v>79</v>
      </c>
      <c r="B324" s="33">
        <v>5</v>
      </c>
      <c r="C324" s="33">
        <v>1</v>
      </c>
      <c r="D324" s="33">
        <v>1</v>
      </c>
      <c r="E324" s="33">
        <v>2</v>
      </c>
      <c r="F324" s="33">
        <v>0</v>
      </c>
      <c r="G324" s="33">
        <v>0</v>
      </c>
      <c r="H324" s="33">
        <v>0</v>
      </c>
      <c r="I324" s="19"/>
      <c r="J324" s="26"/>
      <c r="K324" s="17" t="s">
        <v>78</v>
      </c>
      <c r="L324" s="32"/>
      <c r="M324" s="17"/>
      <c r="N324" s="17"/>
      <c r="O324" s="17"/>
      <c r="P324" s="31"/>
      <c r="Q324" s="30">
        <f t="shared" ref="Q324:AB324" si="87">+Q25+Q53</f>
        <v>56282557</v>
      </c>
      <c r="R324" s="30">
        <f t="shared" si="87"/>
        <v>50779922</v>
      </c>
      <c r="S324" s="30">
        <f t="shared" si="87"/>
        <v>88715480.400000006</v>
      </c>
      <c r="T324" s="30">
        <f t="shared" si="87"/>
        <v>55218522.990000002</v>
      </c>
      <c r="U324" s="30">
        <f t="shared" si="87"/>
        <v>57516867</v>
      </c>
      <c r="V324" s="30">
        <f t="shared" si="87"/>
        <v>69001647.960000008</v>
      </c>
      <c r="W324" s="30">
        <f t="shared" si="87"/>
        <v>73536847.510000005</v>
      </c>
      <c r="X324" s="30">
        <f t="shared" si="87"/>
        <v>96339455</v>
      </c>
      <c r="Y324" s="30">
        <f t="shared" si="87"/>
        <v>60233561.649999999</v>
      </c>
      <c r="Z324" s="30">
        <f t="shared" si="87"/>
        <v>59268769</v>
      </c>
      <c r="AA324" s="30">
        <f t="shared" si="87"/>
        <v>77044619.540000007</v>
      </c>
      <c r="AB324" s="30">
        <f t="shared" si="87"/>
        <v>54215788.189999998</v>
      </c>
    </row>
    <row r="325" spans="1:28" x14ac:dyDescent="0.2">
      <c r="A325" s="33" t="s">
        <v>77</v>
      </c>
      <c r="B325" s="33">
        <v>5</v>
      </c>
      <c r="C325" s="33">
        <v>1</v>
      </c>
      <c r="D325" s="33">
        <v>1</v>
      </c>
      <c r="E325" s="33">
        <v>3</v>
      </c>
      <c r="F325" s="33">
        <v>0</v>
      </c>
      <c r="G325" s="33">
        <v>0</v>
      </c>
      <c r="H325" s="33">
        <v>0</v>
      </c>
      <c r="I325" s="19"/>
      <c r="J325" s="26"/>
      <c r="K325" s="17" t="s">
        <v>76</v>
      </c>
      <c r="L325" s="32"/>
      <c r="M325" s="17"/>
      <c r="N325" s="17"/>
      <c r="O325" s="17"/>
      <c r="P325" s="31"/>
      <c r="Q325" s="30">
        <f t="shared" ref="Q325:AB325" si="88">+Q65-Q286</f>
        <v>0</v>
      </c>
      <c r="R325" s="30">
        <f t="shared" si="88"/>
        <v>0</v>
      </c>
      <c r="S325" s="30">
        <f t="shared" si="88"/>
        <v>0</v>
      </c>
      <c r="T325" s="30">
        <f t="shared" si="88"/>
        <v>0</v>
      </c>
      <c r="U325" s="30">
        <f t="shared" si="88"/>
        <v>0</v>
      </c>
      <c r="V325" s="30">
        <f t="shared" si="88"/>
        <v>0</v>
      </c>
      <c r="W325" s="30">
        <f t="shared" si="88"/>
        <v>0</v>
      </c>
      <c r="X325" s="30">
        <f t="shared" si="88"/>
        <v>0</v>
      </c>
      <c r="Y325" s="30">
        <f t="shared" si="88"/>
        <v>0</v>
      </c>
      <c r="Z325" s="30">
        <f t="shared" si="88"/>
        <v>0</v>
      </c>
      <c r="AA325" s="30">
        <f t="shared" si="88"/>
        <v>0</v>
      </c>
      <c r="AB325" s="30">
        <f t="shared" si="88"/>
        <v>0</v>
      </c>
    </row>
    <row r="326" spans="1:28" x14ac:dyDescent="0.2">
      <c r="A326" s="33" t="s">
        <v>75</v>
      </c>
      <c r="B326" s="33">
        <v>5</v>
      </c>
      <c r="C326" s="33">
        <v>1</v>
      </c>
      <c r="D326" s="33">
        <v>1</v>
      </c>
      <c r="E326" s="33">
        <v>4</v>
      </c>
      <c r="F326" s="33">
        <v>0</v>
      </c>
      <c r="G326" s="33">
        <v>0</v>
      </c>
      <c r="H326" s="33">
        <v>0</v>
      </c>
      <c r="I326" s="19"/>
      <c r="J326" s="26"/>
      <c r="K326" s="17" t="s">
        <v>74</v>
      </c>
      <c r="L326" s="32"/>
      <c r="M326" s="17"/>
      <c r="N326" s="17"/>
      <c r="O326" s="17"/>
      <c r="P326" s="31"/>
      <c r="Q326" s="30">
        <f t="shared" ref="Q326:AB326" si="89">-Q285</f>
        <v>0</v>
      </c>
      <c r="R326" s="30">
        <f t="shared" si="89"/>
        <v>0</v>
      </c>
      <c r="S326" s="30">
        <f t="shared" si="89"/>
        <v>0</v>
      </c>
      <c r="T326" s="30">
        <f t="shared" si="89"/>
        <v>0</v>
      </c>
      <c r="U326" s="30">
        <f t="shared" si="89"/>
        <v>0</v>
      </c>
      <c r="V326" s="30">
        <f t="shared" si="89"/>
        <v>0</v>
      </c>
      <c r="W326" s="30">
        <f t="shared" si="89"/>
        <v>0</v>
      </c>
      <c r="X326" s="30">
        <f t="shared" si="89"/>
        <v>0</v>
      </c>
      <c r="Y326" s="30">
        <f t="shared" si="89"/>
        <v>0</v>
      </c>
      <c r="Z326" s="30">
        <f t="shared" si="89"/>
        <v>0</v>
      </c>
      <c r="AA326" s="30">
        <f t="shared" si="89"/>
        <v>0</v>
      </c>
      <c r="AB326" s="30">
        <f t="shared" si="89"/>
        <v>0</v>
      </c>
    </row>
    <row r="327" spans="1:28" x14ac:dyDescent="0.2">
      <c r="A327" s="20" t="s">
        <v>73</v>
      </c>
      <c r="B327" s="20">
        <v>5</v>
      </c>
      <c r="C327" s="20">
        <v>1</v>
      </c>
      <c r="D327" s="20">
        <v>2</v>
      </c>
      <c r="E327" s="20">
        <v>0</v>
      </c>
      <c r="F327" s="20">
        <v>0</v>
      </c>
      <c r="G327" s="20">
        <v>0</v>
      </c>
      <c r="H327" s="20">
        <v>0</v>
      </c>
      <c r="I327" s="19"/>
      <c r="J327" s="26" t="s">
        <v>72</v>
      </c>
      <c r="K327" s="32"/>
      <c r="L327" s="17"/>
      <c r="M327" s="17"/>
      <c r="N327" s="17"/>
      <c r="O327" s="17"/>
      <c r="P327" s="31"/>
      <c r="Q327" s="15">
        <f t="shared" ref="Q327:AB327" si="90">+Q328+Q333+Q334+Q335+Q336+Q337+Q338</f>
        <v>196716701</v>
      </c>
      <c r="R327" s="15">
        <f t="shared" si="90"/>
        <v>209910153</v>
      </c>
      <c r="S327" s="15">
        <f t="shared" si="90"/>
        <v>276830915</v>
      </c>
      <c r="T327" s="15">
        <f t="shared" si="90"/>
        <v>236136894.19999999</v>
      </c>
      <c r="U327" s="15">
        <f t="shared" si="90"/>
        <v>198629491.72999999</v>
      </c>
      <c r="V327" s="15">
        <f t="shared" si="90"/>
        <v>183453317.59999999</v>
      </c>
      <c r="W327" s="15">
        <f t="shared" si="90"/>
        <v>329988284.97000003</v>
      </c>
      <c r="X327" s="15">
        <f t="shared" si="90"/>
        <v>303109432.85999924</v>
      </c>
      <c r="Y327" s="15">
        <f t="shared" si="90"/>
        <v>326123912.68999988</v>
      </c>
      <c r="Z327" s="15">
        <f t="shared" si="90"/>
        <v>255293004.12999958</v>
      </c>
      <c r="AA327" s="15">
        <f t="shared" si="90"/>
        <v>363670909</v>
      </c>
      <c r="AB327" s="15">
        <f t="shared" si="90"/>
        <v>716550612.43999958</v>
      </c>
    </row>
    <row r="328" spans="1:28" x14ac:dyDescent="0.2">
      <c r="A328" s="33" t="s">
        <v>71</v>
      </c>
      <c r="B328" s="33">
        <v>5</v>
      </c>
      <c r="C328" s="33">
        <v>1</v>
      </c>
      <c r="D328" s="33">
        <v>2</v>
      </c>
      <c r="E328" s="33">
        <v>1</v>
      </c>
      <c r="F328" s="33">
        <v>0</v>
      </c>
      <c r="G328" s="33">
        <v>0</v>
      </c>
      <c r="H328" s="33">
        <v>0</v>
      </c>
      <c r="I328" s="19"/>
      <c r="J328" s="26"/>
      <c r="K328" s="17" t="s">
        <v>70</v>
      </c>
      <c r="L328" s="17"/>
      <c r="M328" s="32"/>
      <c r="N328" s="17"/>
      <c r="O328" s="17"/>
      <c r="P328" s="31"/>
      <c r="Q328" s="30">
        <f t="shared" ref="Q328:AB328" si="91">+Q329+Q330+Q331+Q332</f>
        <v>176061479</v>
      </c>
      <c r="R328" s="30">
        <f t="shared" si="91"/>
        <v>165376313</v>
      </c>
      <c r="S328" s="30">
        <f t="shared" si="91"/>
        <v>214626920</v>
      </c>
      <c r="T328" s="30">
        <f t="shared" si="91"/>
        <v>152022743.75</v>
      </c>
      <c r="U328" s="30">
        <f t="shared" si="91"/>
        <v>146295263.25</v>
      </c>
      <c r="V328" s="30">
        <f t="shared" si="91"/>
        <v>128943970.59999999</v>
      </c>
      <c r="W328" s="30">
        <f t="shared" si="91"/>
        <v>248484266.97</v>
      </c>
      <c r="X328" s="30">
        <f t="shared" si="91"/>
        <v>231475644.33999926</v>
      </c>
      <c r="Y328" s="30">
        <f t="shared" si="91"/>
        <v>216379422.47999987</v>
      </c>
      <c r="Z328" s="30">
        <f t="shared" si="91"/>
        <v>206783079.14999956</v>
      </c>
      <c r="AA328" s="30">
        <f t="shared" si="91"/>
        <v>287531291</v>
      </c>
      <c r="AB328" s="30">
        <f t="shared" si="91"/>
        <v>387856821.94999951</v>
      </c>
    </row>
    <row r="329" spans="1:28" x14ac:dyDescent="0.2">
      <c r="A329" s="33" t="s">
        <v>69</v>
      </c>
      <c r="B329" s="33">
        <v>5</v>
      </c>
      <c r="C329" s="33">
        <v>1</v>
      </c>
      <c r="D329" s="33">
        <v>2</v>
      </c>
      <c r="E329" s="33">
        <v>1</v>
      </c>
      <c r="F329" s="33">
        <v>1</v>
      </c>
      <c r="G329" s="33">
        <v>0</v>
      </c>
      <c r="H329" s="33">
        <v>0</v>
      </c>
      <c r="I329" s="19"/>
      <c r="J329" s="26"/>
      <c r="K329" s="17"/>
      <c r="L329" s="17" t="s">
        <v>68</v>
      </c>
      <c r="M329" s="32"/>
      <c r="N329" s="17"/>
      <c r="O329" s="17"/>
      <c r="P329" s="31"/>
      <c r="Q329" s="30">
        <f t="shared" ref="Q329:AB329" si="92">+Q113</f>
        <v>142785381</v>
      </c>
      <c r="R329" s="30">
        <f t="shared" si="92"/>
        <v>82203086</v>
      </c>
      <c r="S329" s="30">
        <f t="shared" si="92"/>
        <v>174677320</v>
      </c>
      <c r="T329" s="30">
        <f t="shared" si="92"/>
        <v>83356504</v>
      </c>
      <c r="U329" s="30">
        <f t="shared" si="92"/>
        <v>99157549</v>
      </c>
      <c r="V329" s="30">
        <f t="shared" si="92"/>
        <v>84880607</v>
      </c>
      <c r="W329" s="30">
        <f t="shared" si="92"/>
        <v>141363608</v>
      </c>
      <c r="X329" s="30">
        <f t="shared" si="92"/>
        <v>128743898.96999948</v>
      </c>
      <c r="Y329" s="30">
        <f t="shared" si="92"/>
        <v>99364884.079999998</v>
      </c>
      <c r="Z329" s="30">
        <f t="shared" si="92"/>
        <v>86907266.139999658</v>
      </c>
      <c r="AA329" s="30">
        <f t="shared" si="92"/>
        <v>182646273</v>
      </c>
      <c r="AB329" s="30">
        <f t="shared" si="92"/>
        <v>90195370.999999702</v>
      </c>
    </row>
    <row r="330" spans="1:28" x14ac:dyDescent="0.2">
      <c r="A330" s="33" t="s">
        <v>67</v>
      </c>
      <c r="B330" s="33">
        <v>5</v>
      </c>
      <c r="C330" s="33">
        <v>1</v>
      </c>
      <c r="D330" s="33">
        <v>2</v>
      </c>
      <c r="E330" s="33">
        <v>1</v>
      </c>
      <c r="F330" s="33">
        <v>2</v>
      </c>
      <c r="G330" s="33">
        <v>0</v>
      </c>
      <c r="H330" s="33">
        <v>0</v>
      </c>
      <c r="I330" s="19"/>
      <c r="J330" s="26"/>
      <c r="K330" s="17"/>
      <c r="L330" s="17" t="s">
        <v>66</v>
      </c>
      <c r="M330" s="32"/>
      <c r="N330" s="17"/>
      <c r="O330" s="17"/>
      <c r="P330" s="31"/>
      <c r="Q330" s="30">
        <f t="shared" ref="Q330:AB330" si="93">Q122+Q133</f>
        <v>23473254</v>
      </c>
      <c r="R330" s="30">
        <f t="shared" si="93"/>
        <v>73173553</v>
      </c>
      <c r="S330" s="30">
        <f t="shared" si="93"/>
        <v>21681900</v>
      </c>
      <c r="T330" s="30">
        <f t="shared" si="93"/>
        <v>50532358.620000005</v>
      </c>
      <c r="U330" s="30">
        <f t="shared" si="93"/>
        <v>40355102</v>
      </c>
      <c r="V330" s="30">
        <f t="shared" si="93"/>
        <v>38779535.5</v>
      </c>
      <c r="W330" s="30">
        <f t="shared" si="93"/>
        <v>81850599</v>
      </c>
      <c r="X330" s="30">
        <f t="shared" si="93"/>
        <v>68680342.269999787</v>
      </c>
      <c r="Y330" s="30">
        <f t="shared" si="93"/>
        <v>108113646.2899999</v>
      </c>
      <c r="Z330" s="30">
        <f t="shared" si="93"/>
        <v>111120372.3499999</v>
      </c>
      <c r="AA330" s="30">
        <f t="shared" si="93"/>
        <v>93333614</v>
      </c>
      <c r="AB330" s="30">
        <f t="shared" si="93"/>
        <v>274741487.13999981</v>
      </c>
    </row>
    <row r="331" spans="1:28" x14ac:dyDescent="0.2">
      <c r="A331" s="33" t="s">
        <v>65</v>
      </c>
      <c r="B331" s="33">
        <v>5</v>
      </c>
      <c r="C331" s="33">
        <v>1</v>
      </c>
      <c r="D331" s="33">
        <v>2</v>
      </c>
      <c r="E331" s="33">
        <v>1</v>
      </c>
      <c r="F331" s="33">
        <v>3</v>
      </c>
      <c r="G331" s="33">
        <v>0</v>
      </c>
      <c r="H331" s="33">
        <v>0</v>
      </c>
      <c r="I331" s="19"/>
      <c r="J331" s="26"/>
      <c r="K331" s="17"/>
      <c r="L331" s="17" t="s">
        <v>64</v>
      </c>
      <c r="M331" s="32"/>
      <c r="N331" s="17"/>
      <c r="O331" s="17"/>
      <c r="P331" s="31"/>
      <c r="Q331" s="30">
        <f t="shared" ref="Q331:AB331" si="94">+Q206</f>
        <v>9802844</v>
      </c>
      <c r="R331" s="30">
        <f t="shared" si="94"/>
        <v>9999674</v>
      </c>
      <c r="S331" s="30">
        <f t="shared" si="94"/>
        <v>18264648</v>
      </c>
      <c r="T331" s="30">
        <f t="shared" si="94"/>
        <v>18059129</v>
      </c>
      <c r="U331" s="30">
        <f t="shared" si="94"/>
        <v>6481493</v>
      </c>
      <c r="V331" s="30">
        <f t="shared" si="94"/>
        <v>5213508</v>
      </c>
      <c r="W331" s="30">
        <f t="shared" si="94"/>
        <v>25209659</v>
      </c>
      <c r="X331" s="30">
        <f t="shared" si="94"/>
        <v>34021390.880000003</v>
      </c>
      <c r="Y331" s="30">
        <f t="shared" si="94"/>
        <v>8890056.1999999993</v>
      </c>
      <c r="Z331" s="30">
        <f t="shared" si="94"/>
        <v>8665459.6599999908</v>
      </c>
      <c r="AA331" s="30">
        <f t="shared" si="94"/>
        <v>11400737</v>
      </c>
      <c r="AB331" s="30">
        <f t="shared" si="94"/>
        <v>22528203.57</v>
      </c>
    </row>
    <row r="332" spans="1:28" x14ac:dyDescent="0.2">
      <c r="A332" s="33" t="s">
        <v>63</v>
      </c>
      <c r="B332" s="33">
        <v>5</v>
      </c>
      <c r="C332" s="33">
        <v>1</v>
      </c>
      <c r="D332" s="33">
        <v>2</v>
      </c>
      <c r="E332" s="33">
        <v>1</v>
      </c>
      <c r="F332" s="33">
        <v>5</v>
      </c>
      <c r="G332" s="33">
        <v>0</v>
      </c>
      <c r="H332" s="33">
        <v>0</v>
      </c>
      <c r="I332" s="19"/>
      <c r="J332" s="26"/>
      <c r="K332" s="17"/>
      <c r="L332" s="17" t="s">
        <v>62</v>
      </c>
      <c r="M332" s="32"/>
      <c r="N332" s="17"/>
      <c r="O332" s="17"/>
      <c r="P332" s="31"/>
      <c r="Q332" s="30">
        <f t="shared" ref="Q332:AB332" si="95">+Q166+Q182+Q204+Q217+Q220+Q223+Q226</f>
        <v>0</v>
      </c>
      <c r="R332" s="30">
        <f t="shared" si="95"/>
        <v>0</v>
      </c>
      <c r="S332" s="30">
        <f t="shared" si="95"/>
        <v>3052</v>
      </c>
      <c r="T332" s="30">
        <f t="shared" si="95"/>
        <v>74752.13</v>
      </c>
      <c r="U332" s="30">
        <f t="shared" si="95"/>
        <v>301119.25</v>
      </c>
      <c r="V332" s="30">
        <f t="shared" si="95"/>
        <v>70320.100000000006</v>
      </c>
      <c r="W332" s="30">
        <f t="shared" si="95"/>
        <v>60400.97</v>
      </c>
      <c r="X332" s="30">
        <f t="shared" si="95"/>
        <v>30012.22</v>
      </c>
      <c r="Y332" s="30">
        <f t="shared" si="95"/>
        <v>10835.91</v>
      </c>
      <c r="Z332" s="30">
        <f t="shared" si="95"/>
        <v>89981</v>
      </c>
      <c r="AA332" s="30">
        <f t="shared" si="95"/>
        <v>150667</v>
      </c>
      <c r="AB332" s="30">
        <f t="shared" si="95"/>
        <v>391760.24</v>
      </c>
    </row>
    <row r="333" spans="1:28" x14ac:dyDescent="0.2">
      <c r="A333" s="33" t="s">
        <v>61</v>
      </c>
      <c r="B333" s="33">
        <v>5</v>
      </c>
      <c r="C333" s="33">
        <v>1</v>
      </c>
      <c r="D333" s="33">
        <v>2</v>
      </c>
      <c r="E333" s="33">
        <v>2</v>
      </c>
      <c r="F333" s="33">
        <v>0</v>
      </c>
      <c r="G333" s="33">
        <v>0</v>
      </c>
      <c r="H333" s="33">
        <v>0</v>
      </c>
      <c r="I333" s="19"/>
      <c r="J333" s="26"/>
      <c r="K333" s="17" t="s">
        <v>60</v>
      </c>
      <c r="L333" s="17"/>
      <c r="M333" s="32"/>
      <c r="N333" s="17"/>
      <c r="O333" s="17"/>
      <c r="P333" s="31"/>
      <c r="Q333" s="30">
        <f t="shared" ref="Q333:AB333" si="96">+Q143+Q154</f>
        <v>2683785</v>
      </c>
      <c r="R333" s="30">
        <f t="shared" si="96"/>
        <v>0</v>
      </c>
      <c r="S333" s="30">
        <f t="shared" si="96"/>
        <v>0</v>
      </c>
      <c r="T333" s="30">
        <f t="shared" si="96"/>
        <v>0</v>
      </c>
      <c r="U333" s="30">
        <f t="shared" si="96"/>
        <v>0</v>
      </c>
      <c r="V333" s="30">
        <f t="shared" si="96"/>
        <v>0</v>
      </c>
      <c r="W333" s="30">
        <f t="shared" si="96"/>
        <v>0</v>
      </c>
      <c r="X333" s="30">
        <f t="shared" si="96"/>
        <v>0</v>
      </c>
      <c r="Y333" s="30">
        <f t="shared" si="96"/>
        <v>9585552</v>
      </c>
      <c r="Z333" s="30">
        <f t="shared" si="96"/>
        <v>542989.99</v>
      </c>
      <c r="AA333" s="30">
        <f t="shared" si="96"/>
        <v>0</v>
      </c>
      <c r="AB333" s="30">
        <f t="shared" si="96"/>
        <v>202760805.90000001</v>
      </c>
    </row>
    <row r="334" spans="1:28" x14ac:dyDescent="0.2">
      <c r="A334" s="33" t="s">
        <v>59</v>
      </c>
      <c r="B334" s="33">
        <v>5</v>
      </c>
      <c r="C334" s="33">
        <v>1</v>
      </c>
      <c r="D334" s="33">
        <v>2</v>
      </c>
      <c r="E334" s="33">
        <v>3</v>
      </c>
      <c r="F334" s="33">
        <v>0</v>
      </c>
      <c r="G334" s="33">
        <v>0</v>
      </c>
      <c r="H334" s="33">
        <v>0</v>
      </c>
      <c r="I334" s="19"/>
      <c r="J334" s="26"/>
      <c r="K334" s="17" t="s">
        <v>58</v>
      </c>
      <c r="L334" s="17"/>
      <c r="M334" s="32"/>
      <c r="N334" s="17"/>
      <c r="O334" s="17"/>
      <c r="P334" s="31"/>
      <c r="Q334" s="30">
        <f t="shared" ref="Q334:AB334" si="97">+Q161+Q162+Q163+Q164</f>
        <v>0</v>
      </c>
      <c r="R334" s="30">
        <f t="shared" si="97"/>
        <v>0</v>
      </c>
      <c r="S334" s="30">
        <f t="shared" si="97"/>
        <v>0</v>
      </c>
      <c r="T334" s="30">
        <f t="shared" si="97"/>
        <v>0</v>
      </c>
      <c r="U334" s="30">
        <f t="shared" si="97"/>
        <v>0</v>
      </c>
      <c r="V334" s="30">
        <f t="shared" si="97"/>
        <v>0</v>
      </c>
      <c r="W334" s="30">
        <f t="shared" si="97"/>
        <v>0</v>
      </c>
      <c r="X334" s="30">
        <f t="shared" si="97"/>
        <v>0</v>
      </c>
      <c r="Y334" s="30">
        <f t="shared" si="97"/>
        <v>0</v>
      </c>
      <c r="Z334" s="30">
        <f t="shared" si="97"/>
        <v>0</v>
      </c>
      <c r="AA334" s="30">
        <f t="shared" si="97"/>
        <v>0</v>
      </c>
      <c r="AB334" s="30">
        <f t="shared" si="97"/>
        <v>0</v>
      </c>
    </row>
    <row r="335" spans="1:28" x14ac:dyDescent="0.2">
      <c r="A335" s="33" t="s">
        <v>57</v>
      </c>
      <c r="B335" s="33">
        <v>5</v>
      </c>
      <c r="C335" s="33">
        <v>1</v>
      </c>
      <c r="D335" s="33">
        <v>2</v>
      </c>
      <c r="E335" s="33">
        <v>4</v>
      </c>
      <c r="F335" s="33">
        <v>0</v>
      </c>
      <c r="G335" s="33">
        <v>0</v>
      </c>
      <c r="H335" s="33">
        <v>0</v>
      </c>
      <c r="I335" s="19"/>
      <c r="J335" s="26"/>
      <c r="K335" s="17" t="s">
        <v>56</v>
      </c>
      <c r="L335" s="32"/>
      <c r="M335" s="32"/>
      <c r="N335" s="17"/>
      <c r="O335" s="17"/>
      <c r="P335" s="31"/>
      <c r="Q335" s="30">
        <f t="shared" ref="Q335:AB335" si="98">+Q159+Q193+Q205++Q218+Q221+Q224+Q227</f>
        <v>0</v>
      </c>
      <c r="R335" s="30">
        <f t="shared" si="98"/>
        <v>0</v>
      </c>
      <c r="S335" s="30">
        <f t="shared" si="98"/>
        <v>0</v>
      </c>
      <c r="T335" s="30">
        <f t="shared" si="98"/>
        <v>0</v>
      </c>
      <c r="U335" s="30">
        <f t="shared" si="98"/>
        <v>0</v>
      </c>
      <c r="V335" s="30">
        <f t="shared" si="98"/>
        <v>0</v>
      </c>
      <c r="W335" s="30">
        <f t="shared" si="98"/>
        <v>0</v>
      </c>
      <c r="X335" s="30">
        <f t="shared" si="98"/>
        <v>0</v>
      </c>
      <c r="Y335" s="30">
        <f t="shared" si="98"/>
        <v>0</v>
      </c>
      <c r="Z335" s="30">
        <f t="shared" si="98"/>
        <v>0</v>
      </c>
      <c r="AA335" s="30">
        <f t="shared" si="98"/>
        <v>0</v>
      </c>
      <c r="AB335" s="30">
        <f t="shared" si="98"/>
        <v>0</v>
      </c>
    </row>
    <row r="336" spans="1:28" x14ac:dyDescent="0.2">
      <c r="A336" s="33" t="s">
        <v>55</v>
      </c>
      <c r="B336" s="33">
        <v>5</v>
      </c>
      <c r="C336" s="33">
        <v>1</v>
      </c>
      <c r="D336" s="33">
        <v>2</v>
      </c>
      <c r="E336" s="33">
        <v>6</v>
      </c>
      <c r="F336" s="33">
        <v>1</v>
      </c>
      <c r="G336" s="33">
        <v>0</v>
      </c>
      <c r="H336" s="33">
        <v>0</v>
      </c>
      <c r="I336" s="19"/>
      <c r="J336" s="26"/>
      <c r="K336" s="17" t="s">
        <v>54</v>
      </c>
      <c r="L336" s="17"/>
      <c r="M336" s="32"/>
      <c r="N336" s="17"/>
      <c r="O336" s="17"/>
      <c r="P336" s="31"/>
      <c r="Q336" s="30">
        <f t="shared" ref="Q336:AB336" si="99">+Q167</f>
        <v>0</v>
      </c>
      <c r="R336" s="30">
        <f t="shared" si="99"/>
        <v>0</v>
      </c>
      <c r="S336" s="30">
        <f t="shared" si="99"/>
        <v>0</v>
      </c>
      <c r="T336" s="30">
        <f t="shared" si="99"/>
        <v>0</v>
      </c>
      <c r="U336" s="30">
        <f t="shared" si="99"/>
        <v>0</v>
      </c>
      <c r="V336" s="30">
        <f t="shared" si="99"/>
        <v>0</v>
      </c>
      <c r="W336" s="30">
        <f t="shared" si="99"/>
        <v>0</v>
      </c>
      <c r="X336" s="30">
        <f t="shared" si="99"/>
        <v>0</v>
      </c>
      <c r="Y336" s="30">
        <f t="shared" si="99"/>
        <v>0</v>
      </c>
      <c r="Z336" s="30">
        <f t="shared" si="99"/>
        <v>0</v>
      </c>
      <c r="AA336" s="30">
        <f t="shared" si="99"/>
        <v>0</v>
      </c>
      <c r="AB336" s="30">
        <f t="shared" si="99"/>
        <v>0</v>
      </c>
    </row>
    <row r="337" spans="1:28" x14ac:dyDescent="0.2">
      <c r="A337" s="33" t="s">
        <v>53</v>
      </c>
      <c r="B337" s="33">
        <v>5</v>
      </c>
      <c r="C337" s="33">
        <v>1</v>
      </c>
      <c r="D337" s="33">
        <v>2</v>
      </c>
      <c r="E337" s="33">
        <v>7</v>
      </c>
      <c r="F337" s="33">
        <v>0</v>
      </c>
      <c r="G337" s="33">
        <v>0</v>
      </c>
      <c r="H337" s="33">
        <v>0</v>
      </c>
      <c r="I337" s="19"/>
      <c r="J337" s="26"/>
      <c r="K337" s="17" t="s">
        <v>52</v>
      </c>
      <c r="L337" s="17"/>
      <c r="M337" s="32"/>
      <c r="N337" s="17"/>
      <c r="O337" s="17"/>
      <c r="P337" s="31"/>
      <c r="Q337" s="30">
        <f t="shared" ref="Q337:AB337" si="100">+Q228+Q256</f>
        <v>17971437</v>
      </c>
      <c r="R337" s="30">
        <f t="shared" si="100"/>
        <v>44533840</v>
      </c>
      <c r="S337" s="30">
        <f t="shared" si="100"/>
        <v>62203995</v>
      </c>
      <c r="T337" s="30">
        <f t="shared" si="100"/>
        <v>84114150.450000003</v>
      </c>
      <c r="U337" s="30">
        <f t="shared" si="100"/>
        <v>52334228.479999997</v>
      </c>
      <c r="V337" s="30">
        <f t="shared" si="100"/>
        <v>54509347</v>
      </c>
      <c r="W337" s="30">
        <f t="shared" si="100"/>
        <v>81504018</v>
      </c>
      <c r="X337" s="30">
        <f t="shared" si="100"/>
        <v>71633788.519999996</v>
      </c>
      <c r="Y337" s="30">
        <f t="shared" si="100"/>
        <v>100158938.20999999</v>
      </c>
      <c r="Z337" s="30">
        <f t="shared" si="100"/>
        <v>47966934.990000002</v>
      </c>
      <c r="AA337" s="30">
        <f t="shared" si="100"/>
        <v>76139618</v>
      </c>
      <c r="AB337" s="30">
        <f t="shared" si="100"/>
        <v>125932984.59</v>
      </c>
    </row>
    <row r="338" spans="1:28" x14ac:dyDescent="0.2">
      <c r="A338" s="33" t="s">
        <v>51</v>
      </c>
      <c r="B338" s="33">
        <v>5</v>
      </c>
      <c r="C338" s="33">
        <v>1</v>
      </c>
      <c r="D338" s="33">
        <v>2</v>
      </c>
      <c r="E338" s="33">
        <v>8</v>
      </c>
      <c r="F338" s="33">
        <v>0</v>
      </c>
      <c r="G338" s="33">
        <v>0</v>
      </c>
      <c r="H338" s="33">
        <v>0</v>
      </c>
      <c r="I338" s="19"/>
      <c r="J338" s="26"/>
      <c r="K338" s="17" t="s">
        <v>50</v>
      </c>
      <c r="L338" s="17"/>
      <c r="M338" s="32"/>
      <c r="N338" s="17"/>
      <c r="O338" s="17"/>
      <c r="P338" s="31"/>
      <c r="Q338" s="30">
        <f t="shared" ref="Q338:AB338" si="101">-Q64+Q165</f>
        <v>0</v>
      </c>
      <c r="R338" s="30">
        <f t="shared" si="101"/>
        <v>0</v>
      </c>
      <c r="S338" s="30">
        <f t="shared" si="101"/>
        <v>0</v>
      </c>
      <c r="T338" s="30">
        <f t="shared" si="101"/>
        <v>0</v>
      </c>
      <c r="U338" s="30">
        <f t="shared" si="101"/>
        <v>0</v>
      </c>
      <c r="V338" s="30">
        <f t="shared" si="101"/>
        <v>0</v>
      </c>
      <c r="W338" s="30">
        <f t="shared" si="101"/>
        <v>0</v>
      </c>
      <c r="X338" s="30">
        <f t="shared" si="101"/>
        <v>0</v>
      </c>
      <c r="Y338" s="30">
        <f t="shared" si="101"/>
        <v>0</v>
      </c>
      <c r="Z338" s="30">
        <f t="shared" si="101"/>
        <v>0</v>
      </c>
      <c r="AA338" s="30">
        <f t="shared" si="101"/>
        <v>0</v>
      </c>
      <c r="AB338" s="30">
        <f t="shared" si="101"/>
        <v>0</v>
      </c>
    </row>
    <row r="339" spans="1:28" x14ac:dyDescent="0.2">
      <c r="A339" s="20" t="s">
        <v>49</v>
      </c>
      <c r="B339" s="20">
        <v>5</v>
      </c>
      <c r="C339" s="20">
        <v>1</v>
      </c>
      <c r="D339" s="20">
        <v>3</v>
      </c>
      <c r="E339" s="20">
        <v>0</v>
      </c>
      <c r="F339" s="20">
        <v>0</v>
      </c>
      <c r="G339" s="20">
        <v>0</v>
      </c>
      <c r="H339" s="20">
        <v>0</v>
      </c>
      <c r="I339" s="19"/>
      <c r="J339" s="26" t="s">
        <v>48</v>
      </c>
      <c r="K339" s="32"/>
      <c r="L339" s="17"/>
      <c r="M339" s="17"/>
      <c r="N339" s="17"/>
      <c r="O339" s="17"/>
      <c r="P339" s="31"/>
      <c r="Q339" s="15">
        <f t="shared" ref="Q339:AB339" si="102">+Q275</f>
        <v>0</v>
      </c>
      <c r="R339" s="15">
        <f t="shared" si="102"/>
        <v>0</v>
      </c>
      <c r="S339" s="15">
        <f t="shared" si="102"/>
        <v>0</v>
      </c>
      <c r="T339" s="15">
        <f t="shared" si="102"/>
        <v>0</v>
      </c>
      <c r="U339" s="15">
        <f t="shared" si="102"/>
        <v>0</v>
      </c>
      <c r="V339" s="15">
        <f t="shared" si="102"/>
        <v>0</v>
      </c>
      <c r="W339" s="15">
        <f t="shared" si="102"/>
        <v>0</v>
      </c>
      <c r="X339" s="15">
        <f t="shared" si="102"/>
        <v>0</v>
      </c>
      <c r="Y339" s="15">
        <f t="shared" si="102"/>
        <v>0</v>
      </c>
      <c r="Z339" s="15">
        <f t="shared" si="102"/>
        <v>0</v>
      </c>
      <c r="AA339" s="15">
        <f t="shared" si="102"/>
        <v>0</v>
      </c>
      <c r="AB339" s="15">
        <f t="shared" si="102"/>
        <v>0</v>
      </c>
    </row>
    <row r="340" spans="1:28" x14ac:dyDescent="0.2">
      <c r="A340" s="20" t="s">
        <v>47</v>
      </c>
      <c r="B340" s="20">
        <v>5</v>
      </c>
      <c r="C340" s="20">
        <v>1</v>
      </c>
      <c r="D340" s="20">
        <v>4</v>
      </c>
      <c r="E340" s="20">
        <v>0</v>
      </c>
      <c r="F340" s="20">
        <v>0</v>
      </c>
      <c r="G340" s="20">
        <v>0</v>
      </c>
      <c r="H340" s="20">
        <v>0</v>
      </c>
      <c r="I340" s="47"/>
      <c r="J340" s="26" t="s">
        <v>46</v>
      </c>
      <c r="K340" s="46"/>
      <c r="L340" s="42"/>
      <c r="M340" s="42"/>
      <c r="N340" s="42"/>
      <c r="O340" s="42"/>
      <c r="P340" s="41"/>
      <c r="Q340" s="40">
        <f t="shared" ref="Q340:AB340" si="103">+Q316-Q327-Q339</f>
        <v>43963949</v>
      </c>
      <c r="R340" s="40">
        <f t="shared" si="103"/>
        <v>43804911</v>
      </c>
      <c r="S340" s="40">
        <f t="shared" si="103"/>
        <v>87814397.399999976</v>
      </c>
      <c r="T340" s="40">
        <f t="shared" si="103"/>
        <v>52942998.949999988</v>
      </c>
      <c r="U340" s="40">
        <f t="shared" si="103"/>
        <v>100154177.27000001</v>
      </c>
      <c r="V340" s="40">
        <f t="shared" si="103"/>
        <v>200679403.36000004</v>
      </c>
      <c r="W340" s="40">
        <f t="shared" si="103"/>
        <v>22003141.539999962</v>
      </c>
      <c r="X340" s="40">
        <f t="shared" si="103"/>
        <v>180257375.02000076</v>
      </c>
      <c r="Y340" s="40">
        <f t="shared" si="103"/>
        <v>-406453.14999991655</v>
      </c>
      <c r="Z340" s="40">
        <f t="shared" si="103"/>
        <v>60448382.870000422</v>
      </c>
      <c r="AA340" s="40">
        <f t="shared" si="103"/>
        <v>7059124.5400000215</v>
      </c>
      <c r="AB340" s="40">
        <f t="shared" si="103"/>
        <v>-442768222.93999958</v>
      </c>
    </row>
    <row r="341" spans="1:28" x14ac:dyDescent="0.2">
      <c r="A341" s="20" t="s">
        <v>45</v>
      </c>
      <c r="B341" s="20">
        <v>5</v>
      </c>
      <c r="C341" s="20">
        <v>1</v>
      </c>
      <c r="D341" s="20">
        <v>5</v>
      </c>
      <c r="E341" s="20">
        <v>0</v>
      </c>
      <c r="F341" s="20">
        <v>0</v>
      </c>
      <c r="G341" s="20">
        <v>0</v>
      </c>
      <c r="H341" s="20">
        <v>0</v>
      </c>
      <c r="I341" s="45"/>
      <c r="J341" s="44" t="s">
        <v>44</v>
      </c>
      <c r="K341" s="43"/>
      <c r="L341" s="42"/>
      <c r="M341" s="42"/>
      <c r="N341" s="42"/>
      <c r="O341" s="42"/>
      <c r="P341" s="41"/>
      <c r="Q341" s="40">
        <f>+Q342-Q343+Q344-Q345</f>
        <v>-43963949</v>
      </c>
      <c r="R341" s="40">
        <f t="shared" ref="R341:AB341" si="104">+R342-R343+R344-R345</f>
        <v>-43804911.000000007</v>
      </c>
      <c r="S341" s="40">
        <f t="shared" si="104"/>
        <v>-87814397.399999976</v>
      </c>
      <c r="T341" s="40">
        <f t="shared" si="104"/>
        <v>-52942998.700000048</v>
      </c>
      <c r="U341" s="40">
        <f t="shared" si="104"/>
        <v>-100154178.51999998</v>
      </c>
      <c r="V341" s="40">
        <f t="shared" si="104"/>
        <v>-200679402.95999968</v>
      </c>
      <c r="W341" s="40">
        <f t="shared" si="104"/>
        <v>-22003140.510000229</v>
      </c>
      <c r="X341" s="40">
        <f t="shared" si="104"/>
        <v>-180257375.01999998</v>
      </c>
      <c r="Y341" s="40">
        <f t="shared" si="104"/>
        <v>406453.14999985695</v>
      </c>
      <c r="Z341" s="40">
        <f t="shared" si="104"/>
        <v>-60448382.869999886</v>
      </c>
      <c r="AA341" s="40">
        <f t="shared" si="104"/>
        <v>-7059124.5399999619</v>
      </c>
      <c r="AB341" s="40">
        <f t="shared" si="104"/>
        <v>442507510.05999994</v>
      </c>
    </row>
    <row r="342" spans="1:28" x14ac:dyDescent="0.2">
      <c r="A342" s="33" t="s">
        <v>43</v>
      </c>
      <c r="B342" s="33">
        <v>5</v>
      </c>
      <c r="C342" s="33">
        <v>1</v>
      </c>
      <c r="D342" s="33">
        <v>5</v>
      </c>
      <c r="E342" s="33">
        <v>1</v>
      </c>
      <c r="F342" s="33">
        <v>0</v>
      </c>
      <c r="G342" s="33">
        <v>0</v>
      </c>
      <c r="H342" s="33">
        <v>0</v>
      </c>
      <c r="I342" s="19"/>
      <c r="J342" s="26"/>
      <c r="K342" s="17" t="s">
        <v>42</v>
      </c>
      <c r="L342" s="32"/>
      <c r="M342" s="17"/>
      <c r="N342" s="17"/>
      <c r="O342" s="17"/>
      <c r="P342" s="31"/>
      <c r="Q342" s="30">
        <f t="shared" ref="Q342:AB342" si="105">+Q107-Q293</f>
        <v>0</v>
      </c>
      <c r="R342" s="30">
        <f t="shared" si="105"/>
        <v>0</v>
      </c>
      <c r="S342" s="30">
        <f t="shared" si="105"/>
        <v>0</v>
      </c>
      <c r="T342" s="30">
        <f t="shared" si="105"/>
        <v>0</v>
      </c>
      <c r="U342" s="30">
        <f t="shared" si="105"/>
        <v>0</v>
      </c>
      <c r="V342" s="30">
        <f t="shared" si="105"/>
        <v>0</v>
      </c>
      <c r="W342" s="30">
        <f t="shared" si="105"/>
        <v>0</v>
      </c>
      <c r="X342" s="30">
        <f t="shared" si="105"/>
        <v>0</v>
      </c>
      <c r="Y342" s="30">
        <f t="shared" si="105"/>
        <v>0</v>
      </c>
      <c r="Z342" s="30">
        <f t="shared" si="105"/>
        <v>0</v>
      </c>
      <c r="AA342" s="30">
        <f t="shared" si="105"/>
        <v>0</v>
      </c>
      <c r="AB342" s="30">
        <f t="shared" si="105"/>
        <v>0</v>
      </c>
    </row>
    <row r="343" spans="1:28" x14ac:dyDescent="0.2">
      <c r="A343" s="33" t="s">
        <v>41</v>
      </c>
      <c r="B343" s="33">
        <v>5</v>
      </c>
      <c r="C343" s="33">
        <v>1</v>
      </c>
      <c r="D343" s="33">
        <v>5</v>
      </c>
      <c r="E343" s="33">
        <v>2</v>
      </c>
      <c r="F343" s="33">
        <v>0</v>
      </c>
      <c r="G343" s="33">
        <v>0</v>
      </c>
      <c r="H343" s="33">
        <v>0</v>
      </c>
      <c r="I343" s="19"/>
      <c r="J343" s="26"/>
      <c r="K343" s="17" t="s">
        <v>40</v>
      </c>
      <c r="L343" s="32"/>
      <c r="M343" s="17"/>
      <c r="N343" s="17"/>
      <c r="O343" s="17"/>
      <c r="P343" s="31"/>
      <c r="Q343" s="30">
        <f t="shared" ref="Q343:AB343" si="106">Q303-Q298+Q309+Q312</f>
        <v>43963949</v>
      </c>
      <c r="R343" s="30">
        <f t="shared" si="106"/>
        <v>48965840.370000005</v>
      </c>
      <c r="S343" s="30">
        <f t="shared" si="106"/>
        <v>82653468.029999971</v>
      </c>
      <c r="T343" s="30">
        <f t="shared" si="106"/>
        <v>52942998.700000048</v>
      </c>
      <c r="U343" s="30">
        <f t="shared" si="106"/>
        <v>100154178.51999998</v>
      </c>
      <c r="V343" s="30">
        <f t="shared" si="106"/>
        <v>200679402.95999968</v>
      </c>
      <c r="W343" s="30">
        <f t="shared" si="106"/>
        <v>22003140.510000229</v>
      </c>
      <c r="X343" s="30">
        <f t="shared" si="106"/>
        <v>180257375.01999998</v>
      </c>
      <c r="Y343" s="30">
        <f t="shared" si="106"/>
        <v>-406453.14999985695</v>
      </c>
      <c r="Z343" s="30">
        <f t="shared" si="106"/>
        <v>60448382.869999886</v>
      </c>
      <c r="AA343" s="30">
        <f t="shared" si="106"/>
        <v>7059124.5399999619</v>
      </c>
      <c r="AB343" s="30">
        <f t="shared" si="106"/>
        <v>-442507510.05999994</v>
      </c>
    </row>
    <row r="344" spans="1:28" x14ac:dyDescent="0.2">
      <c r="A344" s="33" t="s">
        <v>39</v>
      </c>
      <c r="B344" s="33">
        <v>5</v>
      </c>
      <c r="C344" s="33">
        <v>1</v>
      </c>
      <c r="D344" s="33">
        <v>5</v>
      </c>
      <c r="E344" s="33">
        <v>3</v>
      </c>
      <c r="F344" s="33">
        <v>0</v>
      </c>
      <c r="G344" s="33">
        <v>0</v>
      </c>
      <c r="H344" s="33">
        <v>0</v>
      </c>
      <c r="I344" s="19"/>
      <c r="J344" s="26"/>
      <c r="K344" s="17" t="s">
        <v>38</v>
      </c>
      <c r="L344" s="32"/>
      <c r="M344" s="17"/>
      <c r="N344" s="17"/>
      <c r="O344" s="17"/>
      <c r="P344" s="31"/>
      <c r="Q344" s="30">
        <f t="shared" ref="Q344:AB345" si="107">+Q313</f>
        <v>0</v>
      </c>
      <c r="R344" s="30">
        <f t="shared" si="107"/>
        <v>5160929.37</v>
      </c>
      <c r="S344" s="30">
        <f t="shared" si="107"/>
        <v>-5160929.37</v>
      </c>
      <c r="T344" s="30">
        <f t="shared" si="107"/>
        <v>0</v>
      </c>
      <c r="U344" s="30">
        <f t="shared" si="107"/>
        <v>0</v>
      </c>
      <c r="V344" s="30">
        <f t="shared" si="107"/>
        <v>0</v>
      </c>
      <c r="W344" s="30">
        <f t="shared" si="107"/>
        <v>0</v>
      </c>
      <c r="X344" s="30">
        <f t="shared" si="107"/>
        <v>0</v>
      </c>
      <c r="Y344" s="30">
        <f t="shared" si="107"/>
        <v>0</v>
      </c>
      <c r="Z344" s="30">
        <f t="shared" si="107"/>
        <v>0</v>
      </c>
      <c r="AA344" s="30">
        <f t="shared" si="107"/>
        <v>0</v>
      </c>
      <c r="AB344" s="30">
        <f t="shared" si="107"/>
        <v>0</v>
      </c>
    </row>
    <row r="345" spans="1:28" x14ac:dyDescent="0.2">
      <c r="A345" s="33" t="s">
        <v>37</v>
      </c>
      <c r="B345" s="33">
        <v>5</v>
      </c>
      <c r="C345" s="33">
        <v>1</v>
      </c>
      <c r="D345" s="33">
        <v>5</v>
      </c>
      <c r="E345" s="33">
        <v>4</v>
      </c>
      <c r="F345" s="33">
        <v>0</v>
      </c>
      <c r="G345" s="33">
        <v>0</v>
      </c>
      <c r="H345" s="33">
        <v>0</v>
      </c>
      <c r="I345" s="39"/>
      <c r="J345" s="36"/>
      <c r="K345" s="38" t="s">
        <v>36</v>
      </c>
      <c r="L345" s="37"/>
      <c r="M345" s="36"/>
      <c r="N345" s="36"/>
      <c r="O345" s="36"/>
      <c r="P345" s="35"/>
      <c r="Q345" s="34">
        <f t="shared" si="107"/>
        <v>0</v>
      </c>
      <c r="R345" s="34">
        <f t="shared" si="107"/>
        <v>0</v>
      </c>
      <c r="S345" s="34">
        <f t="shared" si="107"/>
        <v>0</v>
      </c>
      <c r="T345" s="34">
        <f t="shared" si="107"/>
        <v>0</v>
      </c>
      <c r="U345" s="34">
        <f t="shared" si="107"/>
        <v>0</v>
      </c>
      <c r="V345" s="34">
        <f t="shared" si="107"/>
        <v>0</v>
      </c>
      <c r="W345" s="34">
        <f t="shared" si="107"/>
        <v>0</v>
      </c>
      <c r="X345" s="34">
        <f t="shared" si="107"/>
        <v>0</v>
      </c>
      <c r="Y345" s="34">
        <f t="shared" si="107"/>
        <v>0</v>
      </c>
      <c r="Z345" s="34">
        <f t="shared" si="107"/>
        <v>0</v>
      </c>
      <c r="AA345" s="34">
        <f t="shared" si="107"/>
        <v>0</v>
      </c>
      <c r="AB345" s="34">
        <f t="shared" si="107"/>
        <v>0</v>
      </c>
    </row>
    <row r="346" spans="1:28" x14ac:dyDescent="0.2">
      <c r="A346" s="20" t="s">
        <v>35</v>
      </c>
      <c r="B346" s="20">
        <v>5</v>
      </c>
      <c r="C346" s="20">
        <v>1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8"/>
      <c r="J346" s="26" t="s">
        <v>34</v>
      </c>
      <c r="K346" s="17"/>
      <c r="L346" s="32"/>
      <c r="M346" s="17"/>
      <c r="N346" s="17"/>
      <c r="O346" s="17"/>
      <c r="P346" s="31"/>
      <c r="Q346" s="25">
        <f t="shared" ref="Q346:AB346" si="108">+Q336+Q340</f>
        <v>43963949</v>
      </c>
      <c r="R346" s="25">
        <f t="shared" si="108"/>
        <v>43804911</v>
      </c>
      <c r="S346" s="25">
        <f t="shared" si="108"/>
        <v>87814397.399999976</v>
      </c>
      <c r="T346" s="25">
        <f t="shared" si="108"/>
        <v>52942998.949999988</v>
      </c>
      <c r="U346" s="25">
        <f t="shared" si="108"/>
        <v>100154177.27000001</v>
      </c>
      <c r="V346" s="25">
        <f t="shared" si="108"/>
        <v>200679403.36000004</v>
      </c>
      <c r="W346" s="25">
        <f t="shared" si="108"/>
        <v>22003141.539999962</v>
      </c>
      <c r="X346" s="25">
        <f t="shared" si="108"/>
        <v>180257375.02000076</v>
      </c>
      <c r="Y346" s="25">
        <f t="shared" si="108"/>
        <v>-406453.14999991655</v>
      </c>
      <c r="Z346" s="25">
        <f t="shared" si="108"/>
        <v>60448382.870000422</v>
      </c>
      <c r="AA346" s="25">
        <f t="shared" si="108"/>
        <v>7059124.5400000215</v>
      </c>
      <c r="AB346" s="25">
        <f t="shared" si="108"/>
        <v>-442768222.93999958</v>
      </c>
    </row>
    <row r="347" spans="1:28" x14ac:dyDescent="0.2">
      <c r="A347" s="20" t="s">
        <v>33</v>
      </c>
      <c r="B347" s="20">
        <v>5</v>
      </c>
      <c r="C347" s="20">
        <v>1</v>
      </c>
      <c r="D347" s="20">
        <v>7</v>
      </c>
      <c r="E347" s="20">
        <v>0</v>
      </c>
      <c r="F347" s="20">
        <v>0</v>
      </c>
      <c r="G347" s="20">
        <v>0</v>
      </c>
      <c r="H347" s="20">
        <v>0</v>
      </c>
      <c r="I347" s="28"/>
      <c r="J347" s="26" t="s">
        <v>32</v>
      </c>
      <c r="K347" s="17"/>
      <c r="L347" s="32"/>
      <c r="M347" s="17"/>
      <c r="N347" s="17"/>
      <c r="O347" s="17"/>
      <c r="P347" s="31"/>
      <c r="Q347" s="25">
        <f t="shared" ref="Q347:AB347" si="109">Q340-Q325</f>
        <v>43963949</v>
      </c>
      <c r="R347" s="25">
        <f t="shared" si="109"/>
        <v>43804911</v>
      </c>
      <c r="S347" s="25">
        <f t="shared" si="109"/>
        <v>87814397.399999976</v>
      </c>
      <c r="T347" s="25">
        <f t="shared" si="109"/>
        <v>52942998.949999988</v>
      </c>
      <c r="U347" s="25">
        <f t="shared" si="109"/>
        <v>100154177.27000001</v>
      </c>
      <c r="V347" s="25">
        <f t="shared" si="109"/>
        <v>200679403.36000004</v>
      </c>
      <c r="W347" s="25">
        <f t="shared" si="109"/>
        <v>22003141.539999962</v>
      </c>
      <c r="X347" s="25">
        <f t="shared" si="109"/>
        <v>180257375.02000076</v>
      </c>
      <c r="Y347" s="25">
        <f t="shared" si="109"/>
        <v>-406453.14999991655</v>
      </c>
      <c r="Z347" s="25">
        <f t="shared" si="109"/>
        <v>60448382.870000422</v>
      </c>
      <c r="AA347" s="25">
        <f t="shared" si="109"/>
        <v>7059124.5400000215</v>
      </c>
      <c r="AB347" s="25">
        <f t="shared" si="109"/>
        <v>-442768222.93999958</v>
      </c>
    </row>
    <row r="348" spans="1:28" x14ac:dyDescent="0.2">
      <c r="A348" s="20" t="s">
        <v>31</v>
      </c>
      <c r="B348" s="20">
        <v>5</v>
      </c>
      <c r="C348" s="20">
        <v>1</v>
      </c>
      <c r="D348" s="20">
        <v>8</v>
      </c>
      <c r="E348" s="20">
        <v>0</v>
      </c>
      <c r="F348" s="20">
        <v>0</v>
      </c>
      <c r="G348" s="20">
        <v>0</v>
      </c>
      <c r="H348" s="20">
        <v>0</v>
      </c>
      <c r="I348" s="28"/>
      <c r="J348" s="26" t="s">
        <v>30</v>
      </c>
      <c r="K348" s="17"/>
      <c r="L348" s="32"/>
      <c r="M348" s="17"/>
      <c r="N348" s="17"/>
      <c r="O348" s="17"/>
      <c r="P348" s="31"/>
      <c r="Q348" s="25">
        <f t="shared" ref="Q348:AB348" si="110">Q317+Q326-Q339</f>
        <v>184398093</v>
      </c>
      <c r="R348" s="25">
        <f t="shared" si="110"/>
        <v>202935142</v>
      </c>
      <c r="S348" s="25">
        <f t="shared" si="110"/>
        <v>275929832</v>
      </c>
      <c r="T348" s="25">
        <f t="shared" si="110"/>
        <v>233861370.16</v>
      </c>
      <c r="U348" s="25">
        <f t="shared" si="110"/>
        <v>241266802</v>
      </c>
      <c r="V348" s="25">
        <f t="shared" si="110"/>
        <v>315131073</v>
      </c>
      <c r="W348" s="25">
        <f t="shared" si="110"/>
        <v>278454579</v>
      </c>
      <c r="X348" s="25">
        <f t="shared" si="110"/>
        <v>387027352.88</v>
      </c>
      <c r="Y348" s="25">
        <f t="shared" si="110"/>
        <v>265483897.88999999</v>
      </c>
      <c r="Z348" s="25">
        <f t="shared" si="110"/>
        <v>256472618</v>
      </c>
      <c r="AA348" s="25">
        <f t="shared" si="110"/>
        <v>293685414</v>
      </c>
      <c r="AB348" s="25">
        <f t="shared" si="110"/>
        <v>219566601.31</v>
      </c>
    </row>
    <row r="349" spans="1:28" x14ac:dyDescent="0.2">
      <c r="A349" s="20" t="s">
        <v>29</v>
      </c>
      <c r="B349" s="20">
        <v>5</v>
      </c>
      <c r="C349" s="20">
        <v>1</v>
      </c>
      <c r="D349" s="20">
        <v>9</v>
      </c>
      <c r="E349" s="20">
        <v>0</v>
      </c>
      <c r="F349" s="20">
        <v>0</v>
      </c>
      <c r="G349" s="20">
        <v>0</v>
      </c>
      <c r="H349" s="20">
        <v>0</v>
      </c>
      <c r="I349" s="28"/>
      <c r="J349" s="26" t="s">
        <v>28</v>
      </c>
      <c r="K349" s="17"/>
      <c r="L349" s="32"/>
      <c r="M349" s="17"/>
      <c r="N349" s="17"/>
      <c r="O349" s="17"/>
      <c r="P349" s="31"/>
      <c r="Q349" s="25">
        <f t="shared" ref="Q349:AB349" si="111">+Q328+Q333+Q334+Q335+Q338+Q350</f>
        <v>140434144</v>
      </c>
      <c r="R349" s="25">
        <f t="shared" si="111"/>
        <v>159130231</v>
      </c>
      <c r="S349" s="25">
        <f t="shared" si="111"/>
        <v>188115434.59999999</v>
      </c>
      <c r="T349" s="25">
        <f t="shared" si="111"/>
        <v>180918371.21000001</v>
      </c>
      <c r="U349" s="25">
        <f t="shared" si="111"/>
        <v>141112624.72999999</v>
      </c>
      <c r="V349" s="25">
        <f t="shared" si="111"/>
        <v>114451669.63999999</v>
      </c>
      <c r="W349" s="25">
        <f t="shared" si="111"/>
        <v>256451437.45999998</v>
      </c>
      <c r="X349" s="25">
        <f t="shared" si="111"/>
        <v>206769977.85999924</v>
      </c>
      <c r="Y349" s="25">
        <f t="shared" si="111"/>
        <v>265890351.03999984</v>
      </c>
      <c r="Z349" s="25">
        <f t="shared" si="111"/>
        <v>196024235.12999958</v>
      </c>
      <c r="AA349" s="25">
        <f t="shared" si="111"/>
        <v>286626289.45999998</v>
      </c>
      <c r="AB349" s="25">
        <f t="shared" si="111"/>
        <v>662334824.24999952</v>
      </c>
    </row>
    <row r="350" spans="1:28" x14ac:dyDescent="0.2">
      <c r="A350" s="20" t="s">
        <v>27</v>
      </c>
      <c r="B350" s="20">
        <v>5</v>
      </c>
      <c r="C350" s="20">
        <v>1</v>
      </c>
      <c r="D350" s="20">
        <v>10</v>
      </c>
      <c r="E350" s="20">
        <v>0</v>
      </c>
      <c r="F350" s="20">
        <v>0</v>
      </c>
      <c r="G350" s="20">
        <v>0</v>
      </c>
      <c r="H350" s="20">
        <v>0</v>
      </c>
      <c r="I350" s="28"/>
      <c r="J350" s="26" t="s">
        <v>26</v>
      </c>
      <c r="K350" s="17"/>
      <c r="L350" s="32"/>
      <c r="M350" s="17"/>
      <c r="N350" s="17"/>
      <c r="O350" s="17"/>
      <c r="P350" s="31"/>
      <c r="Q350" s="25">
        <f t="shared" ref="Q350:AB350" si="112">+Q351+Q352</f>
        <v>-38311120</v>
      </c>
      <c r="R350" s="25">
        <f t="shared" si="112"/>
        <v>-6246082</v>
      </c>
      <c r="S350" s="25">
        <f t="shared" si="112"/>
        <v>-26511485.400000006</v>
      </c>
      <c r="T350" s="25">
        <f t="shared" si="112"/>
        <v>28895627.460000001</v>
      </c>
      <c r="U350" s="25">
        <f t="shared" si="112"/>
        <v>-5182638.5200000033</v>
      </c>
      <c r="V350" s="25">
        <f t="shared" si="112"/>
        <v>-14492300.960000001</v>
      </c>
      <c r="W350" s="25">
        <f t="shared" si="112"/>
        <v>7967170.4899999946</v>
      </c>
      <c r="X350" s="25">
        <f t="shared" si="112"/>
        <v>-24705666.480000004</v>
      </c>
      <c r="Y350" s="25">
        <f t="shared" si="112"/>
        <v>39925376.559999987</v>
      </c>
      <c r="Z350" s="25">
        <f t="shared" si="112"/>
        <v>-11301834.009999998</v>
      </c>
      <c r="AA350" s="25">
        <f t="shared" si="112"/>
        <v>-905001.54000000656</v>
      </c>
      <c r="AB350" s="25">
        <f t="shared" si="112"/>
        <v>71717196.400000006</v>
      </c>
    </row>
    <row r="351" spans="1:28" x14ac:dyDescent="0.2">
      <c r="A351" s="33" t="s">
        <v>25</v>
      </c>
      <c r="B351" s="33">
        <v>5</v>
      </c>
      <c r="C351" s="33">
        <v>1</v>
      </c>
      <c r="D351" s="33">
        <v>10</v>
      </c>
      <c r="E351" s="33">
        <v>1</v>
      </c>
      <c r="F351" s="33">
        <v>0</v>
      </c>
      <c r="G351" s="33">
        <v>0</v>
      </c>
      <c r="H351" s="33">
        <v>0</v>
      </c>
      <c r="I351" s="19"/>
      <c r="J351" s="17"/>
      <c r="K351" s="17" t="s">
        <v>24</v>
      </c>
      <c r="L351" s="32"/>
      <c r="M351" s="17"/>
      <c r="N351" s="17"/>
      <c r="O351" s="17"/>
      <c r="P351" s="31"/>
      <c r="Q351" s="30">
        <f t="shared" ref="Q351:AB351" si="113">+Q228-Q25</f>
        <v>-37706468</v>
      </c>
      <c r="R351" s="30">
        <f t="shared" si="113"/>
        <v>-6719436</v>
      </c>
      <c r="S351" s="30">
        <f t="shared" si="113"/>
        <v>-26118660.400000006</v>
      </c>
      <c r="T351" s="30">
        <f t="shared" si="113"/>
        <v>27755439.460000001</v>
      </c>
      <c r="U351" s="30">
        <f t="shared" si="113"/>
        <v>-4764531.5200000033</v>
      </c>
      <c r="V351" s="30">
        <f t="shared" si="113"/>
        <v>-14583503.960000001</v>
      </c>
      <c r="W351" s="30">
        <f t="shared" si="113"/>
        <v>7544160.4899999946</v>
      </c>
      <c r="X351" s="30">
        <f t="shared" si="113"/>
        <v>-22362266.480000004</v>
      </c>
      <c r="Y351" s="30">
        <f t="shared" si="113"/>
        <v>37627536.25999999</v>
      </c>
      <c r="Z351" s="30">
        <f t="shared" si="113"/>
        <v>-11062259.009999998</v>
      </c>
      <c r="AA351" s="30">
        <f t="shared" si="113"/>
        <v>-1184807.5400000066</v>
      </c>
      <c r="AB351" s="30">
        <f t="shared" si="113"/>
        <v>71869492.140000001</v>
      </c>
    </row>
    <row r="352" spans="1:28" x14ac:dyDescent="0.2">
      <c r="A352" s="33" t="s">
        <v>23</v>
      </c>
      <c r="B352" s="33">
        <v>5</v>
      </c>
      <c r="C352" s="33">
        <v>1</v>
      </c>
      <c r="D352" s="33">
        <v>10</v>
      </c>
      <c r="E352" s="33">
        <v>2</v>
      </c>
      <c r="F352" s="33">
        <v>0</v>
      </c>
      <c r="G352" s="33">
        <v>0</v>
      </c>
      <c r="H352" s="33">
        <v>0</v>
      </c>
      <c r="I352" s="19"/>
      <c r="J352" s="17"/>
      <c r="K352" s="17" t="s">
        <v>22</v>
      </c>
      <c r="L352" s="32"/>
      <c r="M352" s="17"/>
      <c r="N352" s="17"/>
      <c r="O352" s="17"/>
      <c r="P352" s="31"/>
      <c r="Q352" s="30">
        <f t="shared" ref="Q352:AB352" si="114">+Q256-Q53</f>
        <v>-604652</v>
      </c>
      <c r="R352" s="30">
        <f t="shared" si="114"/>
        <v>473354</v>
      </c>
      <c r="S352" s="30">
        <f t="shared" si="114"/>
        <v>-392825</v>
      </c>
      <c r="T352" s="30">
        <f t="shared" si="114"/>
        <v>1140188</v>
      </c>
      <c r="U352" s="30">
        <f t="shared" si="114"/>
        <v>-418107</v>
      </c>
      <c r="V352" s="30">
        <f t="shared" si="114"/>
        <v>91203</v>
      </c>
      <c r="W352" s="30">
        <f t="shared" si="114"/>
        <v>423010</v>
      </c>
      <c r="X352" s="30">
        <f t="shared" si="114"/>
        <v>-2343400</v>
      </c>
      <c r="Y352" s="30">
        <f t="shared" si="114"/>
        <v>2297840.2999999998</v>
      </c>
      <c r="Z352" s="30">
        <f t="shared" si="114"/>
        <v>-239575</v>
      </c>
      <c r="AA352" s="30">
        <f t="shared" si="114"/>
        <v>279806</v>
      </c>
      <c r="AB352" s="30">
        <f t="shared" si="114"/>
        <v>-152295.74000000022</v>
      </c>
    </row>
    <row r="353" spans="1:28" x14ac:dyDescent="0.2">
      <c r="A353" s="20" t="s">
        <v>21</v>
      </c>
      <c r="B353" s="20">
        <v>6</v>
      </c>
      <c r="C353" s="20">
        <v>0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19" t="s">
        <v>20</v>
      </c>
      <c r="J353" s="17"/>
      <c r="K353" s="17"/>
      <c r="L353" s="17"/>
      <c r="M353" s="17"/>
      <c r="N353" s="17"/>
      <c r="O353" s="17"/>
      <c r="P353" s="16"/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</row>
    <row r="354" spans="1:28" x14ac:dyDescent="0.2">
      <c r="A354" s="14" t="s">
        <v>19</v>
      </c>
      <c r="B354" s="14">
        <v>6</v>
      </c>
      <c r="C354" s="14">
        <v>1</v>
      </c>
      <c r="D354" s="14">
        <v>1</v>
      </c>
      <c r="E354" s="14">
        <v>0</v>
      </c>
      <c r="F354" s="14">
        <v>0</v>
      </c>
      <c r="G354" s="14">
        <v>0</v>
      </c>
      <c r="H354" s="14">
        <v>0</v>
      </c>
      <c r="I354" s="29"/>
      <c r="J354" s="12" t="s">
        <v>18</v>
      </c>
      <c r="K354" s="11"/>
      <c r="L354" s="10"/>
      <c r="M354" s="10"/>
      <c r="N354" s="10"/>
      <c r="O354" s="10"/>
      <c r="P354" s="9"/>
      <c r="Q354" s="8">
        <f>+Q333</f>
        <v>2683785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9585552</v>
      </c>
      <c r="Z354" s="8">
        <v>542989.99</v>
      </c>
      <c r="AA354" s="8">
        <v>0</v>
      </c>
      <c r="AB354" s="8">
        <f>+AB333</f>
        <v>202760805.90000001</v>
      </c>
    </row>
    <row r="355" spans="1:28" x14ac:dyDescent="0.2">
      <c r="A355" s="14" t="s">
        <v>17</v>
      </c>
      <c r="B355" s="14">
        <v>6</v>
      </c>
      <c r="C355" s="14">
        <v>1</v>
      </c>
      <c r="D355" s="14">
        <v>2</v>
      </c>
      <c r="E355" s="14">
        <v>0</v>
      </c>
      <c r="F355" s="14">
        <v>0</v>
      </c>
      <c r="G355" s="14">
        <v>0</v>
      </c>
      <c r="H355" s="14">
        <v>0</v>
      </c>
      <c r="I355" s="29"/>
      <c r="J355" s="12" t="s">
        <v>16</v>
      </c>
      <c r="K355" s="11"/>
      <c r="L355" s="10"/>
      <c r="M355" s="10"/>
      <c r="N355" s="10"/>
      <c r="O355" s="10"/>
      <c r="P355" s="9"/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0</v>
      </c>
    </row>
    <row r="356" spans="1:28" x14ac:dyDescent="0.2">
      <c r="A356" s="20" t="s">
        <v>15</v>
      </c>
      <c r="B356" s="20">
        <v>6</v>
      </c>
      <c r="C356" s="20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8"/>
      <c r="J356" s="27" t="s">
        <v>14</v>
      </c>
      <c r="K356" s="26"/>
      <c r="L356" s="17"/>
      <c r="M356" s="17"/>
      <c r="N356" s="17"/>
      <c r="O356" s="17"/>
      <c r="P356" s="16"/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</row>
    <row r="357" spans="1:28" x14ac:dyDescent="0.2">
      <c r="A357" s="24" t="s">
        <v>13</v>
      </c>
      <c r="B357" s="24">
        <v>6</v>
      </c>
      <c r="C357" s="24">
        <v>3</v>
      </c>
      <c r="D357" s="24">
        <v>1</v>
      </c>
      <c r="E357" s="24">
        <v>0</v>
      </c>
      <c r="F357" s="24">
        <v>0</v>
      </c>
      <c r="G357" s="24">
        <v>0</v>
      </c>
      <c r="H357" s="24">
        <v>0</v>
      </c>
      <c r="I357" s="23"/>
      <c r="J357" s="22"/>
      <c r="K357" s="11" t="s">
        <v>12</v>
      </c>
      <c r="L357" s="10"/>
      <c r="M357" s="10"/>
      <c r="N357" s="10"/>
      <c r="O357" s="10"/>
      <c r="P357" s="9"/>
      <c r="Q357" s="21">
        <f>+Q300</f>
        <v>604037546.71000004</v>
      </c>
      <c r="R357" s="21">
        <v>648001495.71000004</v>
      </c>
      <c r="S357" s="21">
        <v>696967336.08000004</v>
      </c>
      <c r="T357" s="21">
        <v>779620804.11000001</v>
      </c>
      <c r="U357" s="21">
        <f>+T358</f>
        <v>832563802.81000006</v>
      </c>
      <c r="V357" s="21">
        <v>932717981.33000004</v>
      </c>
      <c r="W357" s="8">
        <f t="shared" ref="W357:AB357" si="115">+V358</f>
        <v>1133397384.2899997</v>
      </c>
      <c r="X357" s="21">
        <f t="shared" si="115"/>
        <v>1155400524.8</v>
      </c>
      <c r="Y357" s="21">
        <f t="shared" si="115"/>
        <v>1335657899.8199999</v>
      </c>
      <c r="Z357" s="21">
        <f t="shared" si="115"/>
        <v>1335251446.6700001</v>
      </c>
      <c r="AA357" s="21">
        <f t="shared" si="115"/>
        <v>1395699829.54</v>
      </c>
      <c r="AB357" s="21">
        <f t="shared" si="115"/>
        <v>1402758954.0799999</v>
      </c>
    </row>
    <row r="358" spans="1:28" x14ac:dyDescent="0.2">
      <c r="A358" s="24" t="s">
        <v>11</v>
      </c>
      <c r="B358" s="24">
        <v>6</v>
      </c>
      <c r="C358" s="24">
        <v>3</v>
      </c>
      <c r="D358" s="24">
        <v>2</v>
      </c>
      <c r="E358" s="24">
        <v>0</v>
      </c>
      <c r="F358" s="24">
        <v>0</v>
      </c>
      <c r="G358" s="24">
        <v>0</v>
      </c>
      <c r="H358" s="24">
        <v>0</v>
      </c>
      <c r="I358" s="23"/>
      <c r="J358" s="22"/>
      <c r="K358" s="11" t="s">
        <v>10</v>
      </c>
      <c r="L358" s="10"/>
      <c r="M358" s="10"/>
      <c r="N358" s="10"/>
      <c r="O358" s="10"/>
      <c r="P358" s="9"/>
      <c r="Q358" s="8">
        <f>+Q305</f>
        <v>648001495.71000004</v>
      </c>
      <c r="R358" s="21">
        <v>696967336.08000004</v>
      </c>
      <c r="S358" s="21">
        <v>779620804.11000001</v>
      </c>
      <c r="T358" s="21">
        <f>73534938.53+826000000-44481640.66-22489495.06</f>
        <v>832563802.81000006</v>
      </c>
      <c r="U358" s="21">
        <f>75084648.21+925000000-44481640.66-22885026.22</f>
        <v>932717981.33000004</v>
      </c>
      <c r="V358" s="21">
        <f>71129448.11+1130000000-23250423.16-44481640.66</f>
        <v>1133397384.2899997</v>
      </c>
      <c r="W358" s="8">
        <f>69537957.64+1154000000-23655792.18-44481640.66</f>
        <v>1155400524.8</v>
      </c>
      <c r="X358" s="21">
        <v>1335657899.8199999</v>
      </c>
      <c r="Y358" s="21">
        <f>+Y305</f>
        <v>1335251446.6700001</v>
      </c>
      <c r="Z358" s="21">
        <f>1313000000+170539123.93-44481640.66-43357653.73</f>
        <v>1395699829.54</v>
      </c>
      <c r="AA358" s="21">
        <f>+AA305</f>
        <v>1402758954.0799999</v>
      </c>
      <c r="AB358" s="21">
        <f>+AB305</f>
        <v>960251444.01999998</v>
      </c>
    </row>
    <row r="359" spans="1:28" x14ac:dyDescent="0.2">
      <c r="A359" s="20" t="s">
        <v>9</v>
      </c>
      <c r="B359" s="20">
        <v>6</v>
      </c>
      <c r="C359" s="20">
        <v>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19" t="s">
        <v>8</v>
      </c>
      <c r="J359" s="18"/>
      <c r="K359" s="17"/>
      <c r="L359" s="17"/>
      <c r="M359" s="17"/>
      <c r="N359" s="17"/>
      <c r="O359" s="17"/>
      <c r="P359" s="16"/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</row>
    <row r="360" spans="1:28" x14ac:dyDescent="0.2">
      <c r="A360" s="14" t="s">
        <v>7</v>
      </c>
      <c r="B360" s="14">
        <v>6</v>
      </c>
      <c r="C360" s="14">
        <v>2</v>
      </c>
      <c r="D360" s="14">
        <v>1</v>
      </c>
      <c r="E360" s="14">
        <v>0</v>
      </c>
      <c r="F360" s="14">
        <v>0</v>
      </c>
      <c r="G360" s="14">
        <v>0</v>
      </c>
      <c r="H360" s="14">
        <v>0</v>
      </c>
      <c r="I360" s="13"/>
      <c r="J360" s="12" t="s">
        <v>6</v>
      </c>
      <c r="K360" s="11"/>
      <c r="L360" s="10"/>
      <c r="M360" s="10"/>
      <c r="N360" s="10"/>
      <c r="O360" s="10"/>
      <c r="P360" s="9"/>
      <c r="Q360" s="8">
        <f>+Q340</f>
        <v>43963949</v>
      </c>
      <c r="R360" s="8">
        <f t="shared" ref="R360:AB360" si="116">+R340+Q360</f>
        <v>87768860</v>
      </c>
      <c r="S360" s="8">
        <f t="shared" si="116"/>
        <v>175583257.39999998</v>
      </c>
      <c r="T360" s="8">
        <f t="shared" si="116"/>
        <v>228526256.34999996</v>
      </c>
      <c r="U360" s="8">
        <f t="shared" si="116"/>
        <v>328680433.62</v>
      </c>
      <c r="V360" s="8">
        <f t="shared" si="116"/>
        <v>529359836.98000002</v>
      </c>
      <c r="W360" s="8">
        <f t="shared" si="116"/>
        <v>551362978.51999998</v>
      </c>
      <c r="X360" s="8">
        <f t="shared" si="116"/>
        <v>731620353.54000068</v>
      </c>
      <c r="Y360" s="8">
        <f t="shared" si="116"/>
        <v>731213900.39000082</v>
      </c>
      <c r="Z360" s="8">
        <f t="shared" si="116"/>
        <v>791662283.26000118</v>
      </c>
      <c r="AA360" s="8">
        <f t="shared" si="116"/>
        <v>798721407.80000114</v>
      </c>
      <c r="AB360" s="8">
        <f t="shared" si="116"/>
        <v>355953184.86000156</v>
      </c>
    </row>
    <row r="361" spans="1:28" x14ac:dyDescent="0.2">
      <c r="A361" s="14" t="s">
        <v>5</v>
      </c>
      <c r="B361" s="14">
        <v>6</v>
      </c>
      <c r="C361" s="14">
        <v>2</v>
      </c>
      <c r="D361" s="14">
        <v>2</v>
      </c>
      <c r="E361" s="14">
        <v>0</v>
      </c>
      <c r="F361" s="14">
        <v>0</v>
      </c>
      <c r="G361" s="14">
        <v>0</v>
      </c>
      <c r="H361" s="14">
        <v>0</v>
      </c>
      <c r="I361" s="13"/>
      <c r="J361" s="12" t="s">
        <v>4</v>
      </c>
      <c r="K361" s="11"/>
      <c r="L361" s="10"/>
      <c r="M361" s="10"/>
      <c r="N361" s="10"/>
      <c r="O361" s="10"/>
      <c r="P361" s="9"/>
      <c r="Q361" s="8">
        <f>+Q346</f>
        <v>43963949</v>
      </c>
      <c r="R361" s="8">
        <f t="shared" ref="R361:AB361" si="117">+R346+Q361</f>
        <v>87768860</v>
      </c>
      <c r="S361" s="8">
        <f t="shared" si="117"/>
        <v>175583257.39999998</v>
      </c>
      <c r="T361" s="8">
        <f t="shared" si="117"/>
        <v>228526256.34999996</v>
      </c>
      <c r="U361" s="8">
        <f t="shared" si="117"/>
        <v>328680433.62</v>
      </c>
      <c r="V361" s="8">
        <f t="shared" si="117"/>
        <v>529359836.98000002</v>
      </c>
      <c r="W361" s="8">
        <f t="shared" si="117"/>
        <v>551362978.51999998</v>
      </c>
      <c r="X361" s="8">
        <f t="shared" si="117"/>
        <v>731620353.54000068</v>
      </c>
      <c r="Y361" s="8">
        <f t="shared" si="117"/>
        <v>731213900.39000082</v>
      </c>
      <c r="Z361" s="8">
        <f t="shared" si="117"/>
        <v>791662283.26000118</v>
      </c>
      <c r="AA361" s="8">
        <f t="shared" si="117"/>
        <v>798721407.80000114</v>
      </c>
      <c r="AB361" s="8">
        <f t="shared" si="117"/>
        <v>355953184.86000156</v>
      </c>
    </row>
    <row r="362" spans="1:28" x14ac:dyDescent="0.2">
      <c r="A362" s="14" t="s">
        <v>3</v>
      </c>
      <c r="B362" s="14">
        <v>6</v>
      </c>
      <c r="C362" s="14">
        <v>2</v>
      </c>
      <c r="D362" s="14">
        <v>3</v>
      </c>
      <c r="E362" s="14">
        <v>0</v>
      </c>
      <c r="F362" s="14">
        <v>0</v>
      </c>
      <c r="G362" s="14">
        <v>0</v>
      </c>
      <c r="H362" s="14">
        <v>0</v>
      </c>
      <c r="I362" s="13"/>
      <c r="J362" s="12" t="s">
        <v>2</v>
      </c>
      <c r="K362" s="11"/>
      <c r="L362" s="10"/>
      <c r="M362" s="10"/>
      <c r="N362" s="10"/>
      <c r="O362" s="10"/>
      <c r="P362" s="9"/>
      <c r="Q362" s="8">
        <f>+Q348</f>
        <v>184398093</v>
      </c>
      <c r="R362" s="8">
        <f t="shared" ref="R362:AB363" si="118">+R348+Q362</f>
        <v>387333235</v>
      </c>
      <c r="S362" s="8">
        <f t="shared" si="118"/>
        <v>663263067</v>
      </c>
      <c r="T362" s="8">
        <f t="shared" si="118"/>
        <v>897124437.15999997</v>
      </c>
      <c r="U362" s="8">
        <f t="shared" si="118"/>
        <v>1138391239.1599998</v>
      </c>
      <c r="V362" s="8">
        <f t="shared" si="118"/>
        <v>1453522312.1599998</v>
      </c>
      <c r="W362" s="8">
        <f t="shared" si="118"/>
        <v>1731976891.1599998</v>
      </c>
      <c r="X362" s="8">
        <f t="shared" si="118"/>
        <v>2119004244.04</v>
      </c>
      <c r="Y362" s="8">
        <f t="shared" si="118"/>
        <v>2384488141.9299998</v>
      </c>
      <c r="Z362" s="8">
        <f t="shared" si="118"/>
        <v>2640960759.9299998</v>
      </c>
      <c r="AA362" s="8">
        <f t="shared" si="118"/>
        <v>2934646173.9299998</v>
      </c>
      <c r="AB362" s="8">
        <f t="shared" si="118"/>
        <v>3154212775.2399998</v>
      </c>
    </row>
    <row r="363" spans="1:28" ht="13.5" thickBot="1" x14ac:dyDescent="0.25">
      <c r="A363" s="7" t="s">
        <v>1</v>
      </c>
      <c r="B363" s="7">
        <v>6</v>
      </c>
      <c r="C363" s="7">
        <v>2</v>
      </c>
      <c r="D363" s="7">
        <v>4</v>
      </c>
      <c r="E363" s="7">
        <v>0</v>
      </c>
      <c r="F363" s="7">
        <v>0</v>
      </c>
      <c r="G363" s="7">
        <v>0</v>
      </c>
      <c r="H363" s="7">
        <v>0</v>
      </c>
      <c r="I363" s="6"/>
      <c r="J363" s="5" t="s">
        <v>0</v>
      </c>
      <c r="K363" s="4"/>
      <c r="L363" s="3"/>
      <c r="M363" s="3"/>
      <c r="N363" s="3"/>
      <c r="O363" s="3"/>
      <c r="P363" s="2"/>
      <c r="Q363" s="1">
        <f>+Q349</f>
        <v>140434144</v>
      </c>
      <c r="R363" s="1">
        <f t="shared" si="118"/>
        <v>299564375</v>
      </c>
      <c r="S363" s="1">
        <f t="shared" si="118"/>
        <v>487679809.60000002</v>
      </c>
      <c r="T363" s="1">
        <f t="shared" si="118"/>
        <v>668598180.81000006</v>
      </c>
      <c r="U363" s="1">
        <f t="shared" si="118"/>
        <v>809710805.54000008</v>
      </c>
      <c r="V363" s="1">
        <f t="shared" si="118"/>
        <v>924162475.18000007</v>
      </c>
      <c r="W363" s="1">
        <f t="shared" si="118"/>
        <v>1180613912.6400001</v>
      </c>
      <c r="X363" s="1">
        <f t="shared" si="118"/>
        <v>1387383890.4999993</v>
      </c>
      <c r="Y363" s="1">
        <f t="shared" si="118"/>
        <v>1653274241.539999</v>
      </c>
      <c r="Z363" s="1">
        <f t="shared" si="118"/>
        <v>1849298476.6699986</v>
      </c>
      <c r="AA363" s="1">
        <f t="shared" si="118"/>
        <v>2135924766.1299987</v>
      </c>
      <c r="AB363" s="1">
        <f t="shared" si="118"/>
        <v>2798259590.3799982</v>
      </c>
    </row>
    <row r="364" spans="1:28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2018-01-16T18:28:33Z</dcterms:modified>
</cp:coreProperties>
</file>